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315" windowWidth="1980" windowHeight="42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30" i="1" l="1"/>
  <c r="F630" i="1"/>
  <c r="E630" i="1"/>
  <c r="E629" i="1"/>
  <c r="F629" i="1" s="1"/>
  <c r="E628" i="1"/>
  <c r="G628" i="1" s="1"/>
  <c r="G627" i="1"/>
  <c r="F627" i="1"/>
  <c r="E627" i="1"/>
  <c r="G626" i="1"/>
  <c r="F626" i="1"/>
  <c r="E626" i="1"/>
  <c r="E625" i="1"/>
  <c r="F625" i="1" s="1"/>
  <c r="E624" i="1"/>
  <c r="G624" i="1" s="1"/>
  <c r="G623" i="1"/>
  <c r="F623" i="1"/>
  <c r="E623" i="1"/>
  <c r="G622" i="1"/>
  <c r="F622" i="1"/>
  <c r="E622" i="1"/>
  <c r="E621" i="1"/>
  <c r="F621" i="1" s="1"/>
  <c r="E620" i="1"/>
  <c r="G620" i="1" s="1"/>
  <c r="G619" i="1"/>
  <c r="F619" i="1"/>
  <c r="E619" i="1"/>
  <c r="G618" i="1"/>
  <c r="F618" i="1"/>
  <c r="E618" i="1"/>
  <c r="E617" i="1"/>
  <c r="F617" i="1" s="1"/>
  <c r="E616" i="1"/>
  <c r="G616" i="1" s="1"/>
  <c r="G615" i="1"/>
  <c r="F615" i="1"/>
  <c r="E615" i="1"/>
  <c r="G614" i="1"/>
  <c r="F614" i="1"/>
  <c r="E614" i="1"/>
  <c r="E613" i="1"/>
  <c r="F613" i="1" s="1"/>
  <c r="E612" i="1"/>
  <c r="G612" i="1" s="1"/>
  <c r="G611" i="1"/>
  <c r="F611" i="1"/>
  <c r="E611" i="1"/>
  <c r="G610" i="1"/>
  <c r="F610" i="1"/>
  <c r="E610" i="1"/>
  <c r="E609" i="1"/>
  <c r="E608" i="1"/>
  <c r="G608" i="1" s="1"/>
  <c r="G607" i="1"/>
  <c r="F607" i="1"/>
  <c r="E607" i="1"/>
  <c r="G606" i="1"/>
  <c r="F606" i="1"/>
  <c r="E606" i="1"/>
  <c r="E605" i="1"/>
  <c r="E604" i="1"/>
  <c r="G604" i="1" s="1"/>
  <c r="G603" i="1"/>
  <c r="F603" i="1"/>
  <c r="E603" i="1"/>
  <c r="G602" i="1"/>
  <c r="F602" i="1"/>
  <c r="E602" i="1"/>
  <c r="E601" i="1"/>
  <c r="E600" i="1"/>
  <c r="G599" i="1"/>
  <c r="F599" i="1"/>
  <c r="E599" i="1"/>
  <c r="G598" i="1"/>
  <c r="F598" i="1"/>
  <c r="E598" i="1"/>
  <c r="E597" i="1"/>
  <c r="G597" i="1" s="1"/>
  <c r="E596" i="1"/>
  <c r="G595" i="1"/>
  <c r="F595" i="1"/>
  <c r="E595" i="1"/>
  <c r="G594" i="1"/>
  <c r="F594" i="1"/>
  <c r="E594" i="1"/>
  <c r="E593" i="1"/>
  <c r="G593" i="1" s="1"/>
  <c r="E592" i="1"/>
  <c r="G591" i="1"/>
  <c r="F591" i="1"/>
  <c r="E591" i="1"/>
  <c r="G590" i="1"/>
  <c r="F590" i="1"/>
  <c r="E590" i="1"/>
  <c r="F589" i="1"/>
  <c r="E589" i="1"/>
  <c r="G589" i="1" s="1"/>
  <c r="E588" i="1"/>
  <c r="G587" i="1"/>
  <c r="F587" i="1"/>
  <c r="E587" i="1"/>
  <c r="G586" i="1"/>
  <c r="F586" i="1"/>
  <c r="E586" i="1"/>
  <c r="E585" i="1"/>
  <c r="G585" i="1" s="1"/>
  <c r="E584" i="1"/>
  <c r="G583" i="1"/>
  <c r="F583" i="1"/>
  <c r="E583" i="1"/>
  <c r="G582" i="1"/>
  <c r="F582" i="1"/>
  <c r="E582" i="1"/>
  <c r="E581" i="1"/>
  <c r="G581" i="1" s="1"/>
  <c r="E580" i="1"/>
  <c r="G579" i="1"/>
  <c r="F579" i="1"/>
  <c r="E579" i="1"/>
  <c r="G578" i="1"/>
  <c r="F578" i="1"/>
  <c r="E578" i="1"/>
  <c r="E577" i="1"/>
  <c r="G577" i="1" s="1"/>
  <c r="E576" i="1"/>
  <c r="G575" i="1"/>
  <c r="F575" i="1"/>
  <c r="E575" i="1"/>
  <c r="G574" i="1"/>
  <c r="F574" i="1"/>
  <c r="E574" i="1"/>
  <c r="F573" i="1"/>
  <c r="E573" i="1"/>
  <c r="G573" i="1" s="1"/>
  <c r="E572" i="1"/>
  <c r="G571" i="1"/>
  <c r="F571" i="1"/>
  <c r="E571" i="1"/>
  <c r="G570" i="1"/>
  <c r="F570" i="1"/>
  <c r="E570" i="1"/>
  <c r="E569" i="1"/>
  <c r="G569" i="1" s="1"/>
  <c r="E568" i="1"/>
  <c r="G567" i="1"/>
  <c r="F567" i="1"/>
  <c r="E567" i="1"/>
  <c r="G566" i="1"/>
  <c r="F566" i="1"/>
  <c r="E566" i="1"/>
  <c r="E565" i="1"/>
  <c r="G565" i="1" s="1"/>
  <c r="E564" i="1"/>
  <c r="G563" i="1"/>
  <c r="F563" i="1"/>
  <c r="E563" i="1"/>
  <c r="G562" i="1"/>
  <c r="F562" i="1"/>
  <c r="E562" i="1"/>
  <c r="E561" i="1"/>
  <c r="G561" i="1" s="1"/>
  <c r="E560" i="1"/>
  <c r="G559" i="1"/>
  <c r="F559" i="1"/>
  <c r="E559" i="1"/>
  <c r="G558" i="1"/>
  <c r="F558" i="1"/>
  <c r="E558" i="1"/>
  <c r="F557" i="1"/>
  <c r="E557" i="1"/>
  <c r="G557" i="1" s="1"/>
  <c r="E556" i="1"/>
  <c r="G555" i="1"/>
  <c r="F555" i="1"/>
  <c r="E555" i="1"/>
  <c r="G554" i="1"/>
  <c r="F554" i="1"/>
  <c r="E554" i="1"/>
  <c r="E553" i="1"/>
  <c r="G553" i="1" s="1"/>
  <c r="E552" i="1"/>
  <c r="G551" i="1"/>
  <c r="F551" i="1"/>
  <c r="E551" i="1"/>
  <c r="G550" i="1"/>
  <c r="F550" i="1"/>
  <c r="E550" i="1"/>
  <c r="E549" i="1"/>
  <c r="G549" i="1" s="1"/>
  <c r="E548" i="1"/>
  <c r="G547" i="1"/>
  <c r="F547" i="1"/>
  <c r="E547" i="1"/>
  <c r="G546" i="1"/>
  <c r="F546" i="1"/>
  <c r="E546" i="1"/>
  <c r="E545" i="1"/>
  <c r="G545" i="1" s="1"/>
  <c r="E544" i="1"/>
  <c r="G543" i="1"/>
  <c r="F543" i="1"/>
  <c r="E543" i="1"/>
  <c r="G542" i="1"/>
  <c r="F542" i="1"/>
  <c r="E542" i="1"/>
  <c r="F541" i="1"/>
  <c r="E541" i="1"/>
  <c r="G541" i="1" s="1"/>
  <c r="E540" i="1"/>
  <c r="G539" i="1"/>
  <c r="F539" i="1"/>
  <c r="E539" i="1"/>
  <c r="G538" i="1"/>
  <c r="F538" i="1"/>
  <c r="E538" i="1"/>
  <c r="E537" i="1"/>
  <c r="G537" i="1" s="1"/>
  <c r="E536" i="1"/>
  <c r="G535" i="1"/>
  <c r="F535" i="1"/>
  <c r="E535" i="1"/>
  <c r="G534" i="1"/>
  <c r="F534" i="1"/>
  <c r="E534" i="1"/>
  <c r="E533" i="1"/>
  <c r="G533" i="1" s="1"/>
  <c r="E532" i="1"/>
  <c r="G531" i="1"/>
  <c r="F531" i="1"/>
  <c r="E531" i="1"/>
  <c r="G530" i="1"/>
  <c r="F530" i="1"/>
  <c r="E530" i="1"/>
  <c r="E529" i="1"/>
  <c r="G529" i="1" s="1"/>
  <c r="E528" i="1"/>
  <c r="G527" i="1"/>
  <c r="F527" i="1"/>
  <c r="E527" i="1"/>
  <c r="E526" i="1"/>
  <c r="G526" i="1" s="1"/>
  <c r="F525" i="1"/>
  <c r="E525" i="1"/>
  <c r="G525" i="1" s="1"/>
  <c r="E524" i="1"/>
  <c r="F524" i="1" s="1"/>
  <c r="G523" i="1"/>
  <c r="F523" i="1"/>
  <c r="E523" i="1"/>
  <c r="G522" i="1"/>
  <c r="F522" i="1"/>
  <c r="E522" i="1"/>
  <c r="E521" i="1"/>
  <c r="G521" i="1" s="1"/>
  <c r="G520" i="1"/>
  <c r="E520" i="1"/>
  <c r="F520" i="1" s="1"/>
  <c r="G519" i="1"/>
  <c r="F519" i="1"/>
  <c r="E519" i="1"/>
  <c r="E518" i="1"/>
  <c r="G518" i="1" s="1"/>
  <c r="F517" i="1"/>
  <c r="E517" i="1"/>
  <c r="G517" i="1" s="1"/>
  <c r="E516" i="1"/>
  <c r="F516" i="1" s="1"/>
  <c r="G515" i="1"/>
  <c r="F515" i="1"/>
  <c r="E515" i="1"/>
  <c r="G514" i="1"/>
  <c r="F514" i="1"/>
  <c r="E514" i="1"/>
  <c r="E513" i="1"/>
  <c r="G513" i="1" s="1"/>
  <c r="G512" i="1"/>
  <c r="E512" i="1"/>
  <c r="F512" i="1" s="1"/>
  <c r="G511" i="1"/>
  <c r="F511" i="1"/>
  <c r="E511" i="1"/>
  <c r="E510" i="1"/>
  <c r="G510" i="1" s="1"/>
  <c r="F509" i="1"/>
  <c r="E509" i="1"/>
  <c r="G509" i="1" s="1"/>
  <c r="E508" i="1"/>
  <c r="F508" i="1" s="1"/>
  <c r="G507" i="1"/>
  <c r="F507" i="1"/>
  <c r="E507" i="1"/>
  <c r="G506" i="1"/>
  <c r="F506" i="1"/>
  <c r="E506" i="1"/>
  <c r="E505" i="1"/>
  <c r="G505" i="1" s="1"/>
  <c r="G504" i="1"/>
  <c r="E504" i="1"/>
  <c r="F504" i="1" s="1"/>
  <c r="G503" i="1"/>
  <c r="F503" i="1"/>
  <c r="E503" i="1"/>
  <c r="E502" i="1"/>
  <c r="G502" i="1" s="1"/>
  <c r="F501" i="1"/>
  <c r="E501" i="1"/>
  <c r="G501" i="1" s="1"/>
  <c r="E500" i="1"/>
  <c r="F500" i="1" s="1"/>
  <c r="G499" i="1"/>
  <c r="F499" i="1"/>
  <c r="E499" i="1"/>
  <c r="G498" i="1"/>
  <c r="F498" i="1"/>
  <c r="E498" i="1"/>
  <c r="E497" i="1"/>
  <c r="G497" i="1" s="1"/>
  <c r="G496" i="1"/>
  <c r="E496" i="1"/>
  <c r="F496" i="1" s="1"/>
  <c r="G495" i="1"/>
  <c r="F495" i="1"/>
  <c r="E495" i="1"/>
  <c r="E494" i="1"/>
  <c r="G494" i="1" s="1"/>
  <c r="F493" i="1"/>
  <c r="E493" i="1"/>
  <c r="G493" i="1" s="1"/>
  <c r="E492" i="1"/>
  <c r="F492" i="1" s="1"/>
  <c r="G491" i="1"/>
  <c r="F491" i="1"/>
  <c r="E491" i="1"/>
  <c r="G490" i="1"/>
  <c r="F490" i="1"/>
  <c r="E490" i="1"/>
  <c r="E489" i="1"/>
  <c r="G489" i="1" s="1"/>
  <c r="G488" i="1"/>
  <c r="E488" i="1"/>
  <c r="F488" i="1" s="1"/>
  <c r="G487" i="1"/>
  <c r="F487" i="1"/>
  <c r="E487" i="1"/>
  <c r="E486" i="1"/>
  <c r="G486" i="1" s="1"/>
  <c r="F485" i="1"/>
  <c r="E485" i="1"/>
  <c r="G485" i="1" s="1"/>
  <c r="E484" i="1"/>
  <c r="F484" i="1" s="1"/>
  <c r="G483" i="1"/>
  <c r="F483" i="1"/>
  <c r="E483" i="1"/>
  <c r="G482" i="1"/>
  <c r="F482" i="1"/>
  <c r="E482" i="1"/>
  <c r="E481" i="1"/>
  <c r="G481" i="1" s="1"/>
  <c r="G480" i="1"/>
  <c r="E480" i="1"/>
  <c r="F480" i="1" s="1"/>
  <c r="G479" i="1"/>
  <c r="F479" i="1"/>
  <c r="E479" i="1"/>
  <c r="E478" i="1"/>
  <c r="G478" i="1" s="1"/>
  <c r="F477" i="1"/>
  <c r="E477" i="1"/>
  <c r="G477" i="1" s="1"/>
  <c r="E476" i="1"/>
  <c r="F476" i="1" s="1"/>
  <c r="G475" i="1"/>
  <c r="F475" i="1"/>
  <c r="E475" i="1"/>
  <c r="G474" i="1"/>
  <c r="F474" i="1"/>
  <c r="E474" i="1"/>
  <c r="E473" i="1"/>
  <c r="G473" i="1" s="1"/>
  <c r="G472" i="1"/>
  <c r="E472" i="1"/>
  <c r="F472" i="1" s="1"/>
  <c r="G471" i="1"/>
  <c r="F471" i="1"/>
  <c r="E471" i="1"/>
  <c r="E470" i="1"/>
  <c r="G470" i="1" s="1"/>
  <c r="F469" i="1"/>
  <c r="E469" i="1"/>
  <c r="G469" i="1" s="1"/>
  <c r="E468" i="1"/>
  <c r="F468" i="1" s="1"/>
  <c r="G467" i="1"/>
  <c r="F467" i="1"/>
  <c r="E467" i="1"/>
  <c r="G466" i="1"/>
  <c r="F466" i="1"/>
  <c r="E466" i="1"/>
  <c r="E465" i="1"/>
  <c r="G465" i="1" s="1"/>
  <c r="G464" i="1"/>
  <c r="E464" i="1"/>
  <c r="F464" i="1" s="1"/>
  <c r="G463" i="1"/>
  <c r="F463" i="1"/>
  <c r="E463" i="1"/>
  <c r="E462" i="1"/>
  <c r="F461" i="1"/>
  <c r="E461" i="1"/>
  <c r="G461" i="1" s="1"/>
  <c r="F460" i="1"/>
  <c r="E460" i="1"/>
  <c r="G460" i="1" s="1"/>
  <c r="E459" i="1"/>
  <c r="G458" i="1"/>
  <c r="F458" i="1"/>
  <c r="E458" i="1"/>
  <c r="G457" i="1"/>
  <c r="F457" i="1"/>
  <c r="E457" i="1"/>
  <c r="F456" i="1"/>
  <c r="E456" i="1"/>
  <c r="G456" i="1" s="1"/>
  <c r="E455" i="1"/>
  <c r="G454" i="1"/>
  <c r="F454" i="1"/>
  <c r="E454" i="1"/>
  <c r="G453" i="1"/>
  <c r="F453" i="1"/>
  <c r="E453" i="1"/>
  <c r="F452" i="1"/>
  <c r="E452" i="1"/>
  <c r="G452" i="1" s="1"/>
  <c r="E451" i="1"/>
  <c r="G450" i="1"/>
  <c r="F450" i="1"/>
  <c r="E450" i="1"/>
  <c r="G449" i="1"/>
  <c r="F449" i="1"/>
  <c r="E449" i="1"/>
  <c r="F448" i="1"/>
  <c r="E448" i="1"/>
  <c r="G448" i="1" s="1"/>
  <c r="E447" i="1"/>
  <c r="G446" i="1"/>
  <c r="F446" i="1"/>
  <c r="E446" i="1"/>
  <c r="G445" i="1"/>
  <c r="F445" i="1"/>
  <c r="E445" i="1"/>
  <c r="E444" i="1"/>
  <c r="G444" i="1" s="1"/>
  <c r="E443" i="1"/>
  <c r="G442" i="1"/>
  <c r="F442" i="1"/>
  <c r="E442" i="1"/>
  <c r="G441" i="1"/>
  <c r="F441" i="1"/>
  <c r="E441" i="1"/>
  <c r="F440" i="1"/>
  <c r="E440" i="1"/>
  <c r="G440" i="1" s="1"/>
  <c r="E439" i="1"/>
  <c r="G438" i="1"/>
  <c r="F438" i="1"/>
  <c r="E438" i="1"/>
  <c r="G437" i="1"/>
  <c r="F437" i="1"/>
  <c r="E437" i="1"/>
  <c r="F436" i="1"/>
  <c r="E436" i="1"/>
  <c r="G436" i="1" s="1"/>
  <c r="E435" i="1"/>
  <c r="G434" i="1"/>
  <c r="F434" i="1"/>
  <c r="E434" i="1"/>
  <c r="G433" i="1"/>
  <c r="F433" i="1"/>
  <c r="E433" i="1"/>
  <c r="F432" i="1"/>
  <c r="E432" i="1"/>
  <c r="G432" i="1" s="1"/>
  <c r="E431" i="1"/>
  <c r="G430" i="1"/>
  <c r="F430" i="1"/>
  <c r="E430" i="1"/>
  <c r="G429" i="1"/>
  <c r="F429" i="1"/>
  <c r="E429" i="1"/>
  <c r="E428" i="1"/>
  <c r="G428" i="1" s="1"/>
  <c r="E427" i="1"/>
  <c r="G426" i="1"/>
  <c r="F426" i="1"/>
  <c r="E426" i="1"/>
  <c r="G425" i="1"/>
  <c r="F425" i="1"/>
  <c r="E425" i="1"/>
  <c r="F424" i="1"/>
  <c r="E424" i="1"/>
  <c r="G424" i="1" s="1"/>
  <c r="E423" i="1"/>
  <c r="G422" i="1"/>
  <c r="F422" i="1"/>
  <c r="E422" i="1"/>
  <c r="G421" i="1"/>
  <c r="F421" i="1"/>
  <c r="E421" i="1"/>
  <c r="F420" i="1"/>
  <c r="E420" i="1"/>
  <c r="G420" i="1" s="1"/>
  <c r="E419" i="1"/>
  <c r="G418" i="1"/>
  <c r="F418" i="1"/>
  <c r="E418" i="1"/>
  <c r="G417" i="1"/>
  <c r="F417" i="1"/>
  <c r="E417" i="1"/>
  <c r="F416" i="1"/>
  <c r="E416" i="1"/>
  <c r="G416" i="1" s="1"/>
  <c r="E415" i="1"/>
  <c r="G414" i="1"/>
  <c r="F414" i="1"/>
  <c r="E414" i="1"/>
  <c r="G413" i="1"/>
  <c r="F413" i="1"/>
  <c r="E413" i="1"/>
  <c r="E412" i="1"/>
  <c r="G412" i="1" s="1"/>
  <c r="E411" i="1"/>
  <c r="G410" i="1"/>
  <c r="F410" i="1"/>
  <c r="E410" i="1"/>
  <c r="G409" i="1"/>
  <c r="F409" i="1"/>
  <c r="E409" i="1"/>
  <c r="F408" i="1"/>
  <c r="E408" i="1"/>
  <c r="G408" i="1" s="1"/>
  <c r="E407" i="1"/>
  <c r="G406" i="1"/>
  <c r="F406" i="1"/>
  <c r="E406" i="1"/>
  <c r="G405" i="1"/>
  <c r="F405" i="1"/>
  <c r="E405" i="1"/>
  <c r="F404" i="1"/>
  <c r="E404" i="1"/>
  <c r="G404" i="1" s="1"/>
  <c r="E403" i="1"/>
  <c r="G402" i="1"/>
  <c r="F402" i="1"/>
  <c r="E402" i="1"/>
  <c r="G401" i="1"/>
  <c r="F401" i="1"/>
  <c r="E401" i="1"/>
  <c r="F400" i="1"/>
  <c r="E400" i="1"/>
  <c r="G400" i="1" s="1"/>
  <c r="E399" i="1"/>
  <c r="G398" i="1"/>
  <c r="F398" i="1"/>
  <c r="E398" i="1"/>
  <c r="G397" i="1"/>
  <c r="F397" i="1"/>
  <c r="E397" i="1"/>
  <c r="E396" i="1"/>
  <c r="G396" i="1" s="1"/>
  <c r="E395" i="1"/>
  <c r="G394" i="1"/>
  <c r="F394" i="1"/>
  <c r="E394" i="1"/>
  <c r="G393" i="1"/>
  <c r="F393" i="1"/>
  <c r="E393" i="1"/>
  <c r="F392" i="1"/>
  <c r="E392" i="1"/>
  <c r="G392" i="1" s="1"/>
  <c r="E391" i="1"/>
  <c r="G390" i="1"/>
  <c r="F390" i="1"/>
  <c r="E390" i="1"/>
  <c r="G389" i="1"/>
  <c r="F389" i="1"/>
  <c r="E389" i="1"/>
  <c r="F388" i="1"/>
  <c r="E388" i="1"/>
  <c r="G388" i="1" s="1"/>
  <c r="E387" i="1"/>
  <c r="G386" i="1"/>
  <c r="F386" i="1"/>
  <c r="E386" i="1"/>
  <c r="G385" i="1"/>
  <c r="F385" i="1"/>
  <c r="E385" i="1"/>
  <c r="F384" i="1"/>
  <c r="E384" i="1"/>
  <c r="G384" i="1" s="1"/>
  <c r="E383" i="1"/>
  <c r="G382" i="1"/>
  <c r="F382" i="1"/>
  <c r="E382" i="1"/>
  <c r="G381" i="1"/>
  <c r="F381" i="1"/>
  <c r="E381" i="1"/>
  <c r="E380" i="1"/>
  <c r="G380" i="1" s="1"/>
  <c r="E379" i="1"/>
  <c r="G378" i="1"/>
  <c r="F378" i="1"/>
  <c r="E378" i="1"/>
  <c r="G377" i="1"/>
  <c r="F377" i="1"/>
  <c r="E377" i="1"/>
  <c r="F376" i="1"/>
  <c r="E376" i="1"/>
  <c r="G376" i="1" s="1"/>
  <c r="E375" i="1"/>
  <c r="G374" i="1"/>
  <c r="F374" i="1"/>
  <c r="E374" i="1"/>
  <c r="G373" i="1"/>
  <c r="F373" i="1"/>
  <c r="E373" i="1"/>
  <c r="F372" i="1"/>
  <c r="E372" i="1"/>
  <c r="G372" i="1" s="1"/>
  <c r="E371" i="1"/>
  <c r="G370" i="1"/>
  <c r="F370" i="1"/>
  <c r="E370" i="1"/>
  <c r="G369" i="1"/>
  <c r="F369" i="1"/>
  <c r="E369" i="1"/>
  <c r="F368" i="1"/>
  <c r="E368" i="1"/>
  <c r="G368" i="1" s="1"/>
  <c r="E367" i="1"/>
  <c r="G366" i="1"/>
  <c r="F366" i="1"/>
  <c r="E366" i="1"/>
  <c r="G365" i="1"/>
  <c r="F365" i="1"/>
  <c r="E365" i="1"/>
  <c r="E364" i="1"/>
  <c r="G364" i="1" s="1"/>
  <c r="E363" i="1"/>
  <c r="G362" i="1"/>
  <c r="F362" i="1"/>
  <c r="E362" i="1"/>
  <c r="G361" i="1"/>
  <c r="F361" i="1"/>
  <c r="E361" i="1"/>
  <c r="F360" i="1"/>
  <c r="E360" i="1"/>
  <c r="G360" i="1" s="1"/>
  <c r="E359" i="1"/>
  <c r="G358" i="1"/>
  <c r="F358" i="1"/>
  <c r="E358" i="1"/>
  <c r="G357" i="1"/>
  <c r="F357" i="1"/>
  <c r="E357" i="1"/>
  <c r="F356" i="1"/>
  <c r="E356" i="1"/>
  <c r="G356" i="1" s="1"/>
  <c r="E355" i="1"/>
  <c r="G354" i="1"/>
  <c r="F354" i="1"/>
  <c r="E354" i="1"/>
  <c r="G353" i="1"/>
  <c r="F353" i="1"/>
  <c r="E353" i="1"/>
  <c r="F352" i="1"/>
  <c r="E352" i="1"/>
  <c r="G352" i="1" s="1"/>
  <c r="E351" i="1"/>
  <c r="G350" i="1"/>
  <c r="F350" i="1"/>
  <c r="E350" i="1"/>
  <c r="G349" i="1"/>
  <c r="F349" i="1"/>
  <c r="E349" i="1"/>
  <c r="E348" i="1"/>
  <c r="G348" i="1" s="1"/>
  <c r="G347" i="1"/>
  <c r="E347" i="1"/>
  <c r="F347" i="1" s="1"/>
  <c r="G346" i="1"/>
  <c r="F346" i="1"/>
  <c r="E346" i="1"/>
  <c r="E345" i="1"/>
  <c r="G345" i="1" s="1"/>
  <c r="F344" i="1"/>
  <c r="E344" i="1"/>
  <c r="G344" i="1" s="1"/>
  <c r="E343" i="1"/>
  <c r="F343" i="1" s="1"/>
  <c r="G342" i="1"/>
  <c r="F342" i="1"/>
  <c r="E342" i="1"/>
  <c r="G341" i="1"/>
  <c r="F341" i="1"/>
  <c r="E341" i="1"/>
  <c r="E340" i="1"/>
  <c r="G340" i="1" s="1"/>
  <c r="G339" i="1"/>
  <c r="E339" i="1"/>
  <c r="F339" i="1" s="1"/>
  <c r="G338" i="1"/>
  <c r="F338" i="1"/>
  <c r="E338" i="1"/>
  <c r="E337" i="1"/>
  <c r="G337" i="1" s="1"/>
  <c r="F336" i="1"/>
  <c r="E336" i="1"/>
  <c r="G336" i="1" s="1"/>
  <c r="E335" i="1"/>
  <c r="F335" i="1" s="1"/>
  <c r="G334" i="1"/>
  <c r="F334" i="1"/>
  <c r="E334" i="1"/>
  <c r="G333" i="1"/>
  <c r="F333" i="1"/>
  <c r="E333" i="1"/>
  <c r="E332" i="1"/>
  <c r="G332" i="1" s="1"/>
  <c r="G331" i="1"/>
  <c r="E331" i="1"/>
  <c r="F331" i="1" s="1"/>
  <c r="G330" i="1"/>
  <c r="F330" i="1"/>
  <c r="E330" i="1"/>
  <c r="E329" i="1"/>
  <c r="G329" i="1" s="1"/>
  <c r="F328" i="1"/>
  <c r="E328" i="1"/>
  <c r="G328" i="1" s="1"/>
  <c r="E327" i="1"/>
  <c r="F327" i="1" s="1"/>
  <c r="G326" i="1"/>
  <c r="F326" i="1"/>
  <c r="E326" i="1"/>
  <c r="G325" i="1"/>
  <c r="F325" i="1"/>
  <c r="E325" i="1"/>
  <c r="E324" i="1"/>
  <c r="G324" i="1" s="1"/>
  <c r="G323" i="1"/>
  <c r="E323" i="1"/>
  <c r="F323" i="1" s="1"/>
  <c r="G322" i="1"/>
  <c r="F322" i="1"/>
  <c r="E322" i="1"/>
  <c r="E321" i="1"/>
  <c r="G321" i="1" s="1"/>
  <c r="F320" i="1"/>
  <c r="E320" i="1"/>
  <c r="G320" i="1" s="1"/>
  <c r="E319" i="1"/>
  <c r="F319" i="1" s="1"/>
  <c r="G318" i="1"/>
  <c r="F318" i="1"/>
  <c r="E318" i="1"/>
  <c r="G317" i="1"/>
  <c r="F317" i="1"/>
  <c r="E317" i="1"/>
  <c r="E316" i="1"/>
  <c r="G316" i="1" s="1"/>
  <c r="G315" i="1"/>
  <c r="E315" i="1"/>
  <c r="F315" i="1" s="1"/>
  <c r="G314" i="1"/>
  <c r="F314" i="1"/>
  <c r="E314" i="1"/>
  <c r="E313" i="1"/>
  <c r="G313" i="1" s="1"/>
  <c r="F312" i="1"/>
  <c r="E312" i="1"/>
  <c r="G312" i="1" s="1"/>
  <c r="E311" i="1"/>
  <c r="F311" i="1" s="1"/>
  <c r="G310" i="1"/>
  <c r="F310" i="1"/>
  <c r="E310" i="1"/>
  <c r="G309" i="1"/>
  <c r="F309" i="1"/>
  <c r="E309" i="1"/>
  <c r="E308" i="1"/>
  <c r="G308" i="1" s="1"/>
  <c r="G307" i="1"/>
  <c r="E307" i="1"/>
  <c r="F307" i="1" s="1"/>
  <c r="G306" i="1"/>
  <c r="F306" i="1"/>
  <c r="E306" i="1"/>
  <c r="E305" i="1"/>
  <c r="G305" i="1" s="1"/>
  <c r="F304" i="1"/>
  <c r="E304" i="1"/>
  <c r="G304" i="1" s="1"/>
  <c r="E303" i="1"/>
  <c r="F303" i="1" s="1"/>
  <c r="G302" i="1"/>
  <c r="F302" i="1"/>
  <c r="E302" i="1"/>
  <c r="G301" i="1"/>
  <c r="F301" i="1"/>
  <c r="E301" i="1"/>
  <c r="E300" i="1"/>
  <c r="G300" i="1" s="1"/>
  <c r="G299" i="1"/>
  <c r="E299" i="1"/>
  <c r="F299" i="1" s="1"/>
  <c r="G298" i="1"/>
  <c r="F298" i="1"/>
  <c r="E298" i="1"/>
  <c r="E297" i="1"/>
  <c r="G297" i="1" s="1"/>
  <c r="F296" i="1"/>
  <c r="E296" i="1"/>
  <c r="G296" i="1" s="1"/>
  <c r="E295" i="1"/>
  <c r="F295" i="1" s="1"/>
  <c r="G294" i="1"/>
  <c r="F294" i="1"/>
  <c r="E294" i="1"/>
  <c r="G293" i="1"/>
  <c r="F293" i="1"/>
  <c r="E293" i="1"/>
  <c r="E292" i="1"/>
  <c r="G292" i="1" s="1"/>
  <c r="G291" i="1"/>
  <c r="E291" i="1"/>
  <c r="F291" i="1" s="1"/>
  <c r="G290" i="1"/>
  <c r="F290" i="1"/>
  <c r="E290" i="1"/>
  <c r="E289" i="1"/>
  <c r="G289" i="1" s="1"/>
  <c r="F288" i="1"/>
  <c r="E288" i="1"/>
  <c r="G288" i="1" s="1"/>
  <c r="E287" i="1"/>
  <c r="F287" i="1" s="1"/>
  <c r="G286" i="1"/>
  <c r="F286" i="1"/>
  <c r="E286" i="1"/>
  <c r="G285" i="1"/>
  <c r="F285" i="1"/>
  <c r="E285" i="1"/>
  <c r="E284" i="1"/>
  <c r="G284" i="1" s="1"/>
  <c r="G283" i="1"/>
  <c r="E283" i="1"/>
  <c r="F283" i="1" s="1"/>
  <c r="G282" i="1"/>
  <c r="F282" i="1"/>
  <c r="E282" i="1"/>
  <c r="E281" i="1"/>
  <c r="G281" i="1" s="1"/>
  <c r="F280" i="1"/>
  <c r="E280" i="1"/>
  <c r="G280" i="1" s="1"/>
  <c r="E279" i="1"/>
  <c r="F279" i="1" s="1"/>
  <c r="G278" i="1"/>
  <c r="F278" i="1"/>
  <c r="E278" i="1"/>
  <c r="G277" i="1"/>
  <c r="F277" i="1"/>
  <c r="E277" i="1"/>
  <c r="E276" i="1"/>
  <c r="G276" i="1" s="1"/>
  <c r="G275" i="1"/>
  <c r="E275" i="1"/>
  <c r="F275" i="1" s="1"/>
  <c r="G274" i="1"/>
  <c r="F274" i="1"/>
  <c r="E274" i="1"/>
  <c r="E273" i="1"/>
  <c r="G273" i="1" s="1"/>
  <c r="F272" i="1"/>
  <c r="E272" i="1"/>
  <c r="G272" i="1" s="1"/>
  <c r="E271" i="1"/>
  <c r="F271" i="1" s="1"/>
  <c r="G270" i="1"/>
  <c r="F270" i="1"/>
  <c r="E270" i="1"/>
  <c r="G269" i="1"/>
  <c r="F269" i="1"/>
  <c r="E269" i="1"/>
  <c r="E268" i="1"/>
  <c r="G268" i="1" s="1"/>
  <c r="G267" i="1"/>
  <c r="E267" i="1"/>
  <c r="F267" i="1" s="1"/>
  <c r="G266" i="1"/>
  <c r="F266" i="1"/>
  <c r="E266" i="1"/>
  <c r="E265" i="1"/>
  <c r="G265" i="1" s="1"/>
  <c r="F264" i="1"/>
  <c r="E264" i="1"/>
  <c r="G264" i="1" s="1"/>
  <c r="E263" i="1"/>
  <c r="F263" i="1" s="1"/>
  <c r="G262" i="1"/>
  <c r="F262" i="1"/>
  <c r="E262" i="1"/>
  <c r="G261" i="1"/>
  <c r="F261" i="1"/>
  <c r="E261" i="1"/>
  <c r="E260" i="1"/>
  <c r="G260" i="1" s="1"/>
  <c r="G259" i="1"/>
  <c r="E259" i="1"/>
  <c r="F259" i="1" s="1"/>
  <c r="G258" i="1"/>
  <c r="F258" i="1"/>
  <c r="E258" i="1"/>
  <c r="E257" i="1"/>
  <c r="G257" i="1" s="1"/>
  <c r="F256" i="1"/>
  <c r="E256" i="1"/>
  <c r="G256" i="1" s="1"/>
  <c r="E255" i="1"/>
  <c r="F255" i="1" s="1"/>
  <c r="G254" i="1"/>
  <c r="F254" i="1"/>
  <c r="E254" i="1"/>
  <c r="G253" i="1"/>
  <c r="F253" i="1"/>
  <c r="E253" i="1"/>
  <c r="E252" i="1"/>
  <c r="G252" i="1" s="1"/>
  <c r="G251" i="1"/>
  <c r="E251" i="1"/>
  <c r="F251" i="1" s="1"/>
  <c r="G250" i="1"/>
  <c r="F250" i="1"/>
  <c r="E250" i="1"/>
  <c r="E249" i="1"/>
  <c r="G249" i="1" s="1"/>
  <c r="F248" i="1"/>
  <c r="E248" i="1"/>
  <c r="G248" i="1" s="1"/>
  <c r="E247" i="1"/>
  <c r="F247" i="1" s="1"/>
  <c r="G246" i="1"/>
  <c r="F246" i="1"/>
  <c r="E246" i="1"/>
  <c r="G245" i="1"/>
  <c r="F245" i="1"/>
  <c r="E245" i="1"/>
  <c r="E244" i="1"/>
  <c r="G244" i="1" s="1"/>
  <c r="G243" i="1"/>
  <c r="E243" i="1"/>
  <c r="F243" i="1" s="1"/>
  <c r="G242" i="1"/>
  <c r="F242" i="1"/>
  <c r="E242" i="1"/>
  <c r="E241" i="1"/>
  <c r="G241" i="1" s="1"/>
  <c r="F240" i="1"/>
  <c r="E240" i="1"/>
  <c r="G240" i="1" s="1"/>
  <c r="E239" i="1"/>
  <c r="F239" i="1" s="1"/>
  <c r="G238" i="1"/>
  <c r="F238" i="1"/>
  <c r="E238" i="1"/>
  <c r="G237" i="1"/>
  <c r="F237" i="1"/>
  <c r="E237" i="1"/>
  <c r="E236" i="1"/>
  <c r="G236" i="1" s="1"/>
  <c r="G235" i="1"/>
  <c r="E235" i="1"/>
  <c r="F235" i="1" s="1"/>
  <c r="G234" i="1"/>
  <c r="F234" i="1"/>
  <c r="E234" i="1"/>
  <c r="E233" i="1"/>
  <c r="G233" i="1" s="1"/>
  <c r="F232" i="1"/>
  <c r="E232" i="1"/>
  <c r="G232" i="1" s="1"/>
  <c r="E231" i="1"/>
  <c r="F231" i="1" s="1"/>
  <c r="G230" i="1"/>
  <c r="F230" i="1"/>
  <c r="E230" i="1"/>
  <c r="G229" i="1"/>
  <c r="F229" i="1"/>
  <c r="E229" i="1"/>
  <c r="E228" i="1"/>
  <c r="G228" i="1" s="1"/>
  <c r="G227" i="1"/>
  <c r="E227" i="1"/>
  <c r="F227" i="1" s="1"/>
  <c r="G226" i="1"/>
  <c r="F226" i="1"/>
  <c r="E226" i="1"/>
  <c r="E225" i="1"/>
  <c r="G225" i="1" s="1"/>
  <c r="F224" i="1"/>
  <c r="E224" i="1"/>
  <c r="G224" i="1" s="1"/>
  <c r="E223" i="1"/>
  <c r="F223" i="1" s="1"/>
  <c r="G222" i="1"/>
  <c r="F222" i="1"/>
  <c r="E222" i="1"/>
  <c r="G221" i="1"/>
  <c r="F221" i="1"/>
  <c r="E221" i="1"/>
  <c r="E220" i="1"/>
  <c r="G220" i="1" s="1"/>
  <c r="G219" i="1"/>
  <c r="E219" i="1"/>
  <c r="F219" i="1" s="1"/>
  <c r="G218" i="1"/>
  <c r="F218" i="1"/>
  <c r="E218" i="1"/>
  <c r="E217" i="1"/>
  <c r="G217" i="1" s="1"/>
  <c r="F216" i="1"/>
  <c r="E216" i="1"/>
  <c r="G216" i="1" s="1"/>
  <c r="E215" i="1"/>
  <c r="F215" i="1" s="1"/>
  <c r="G214" i="1"/>
  <c r="F214" i="1"/>
  <c r="E214" i="1"/>
  <c r="G213" i="1"/>
  <c r="F213" i="1"/>
  <c r="E213" i="1"/>
  <c r="E212" i="1"/>
  <c r="G212" i="1" s="1"/>
  <c r="G211" i="1"/>
  <c r="E211" i="1"/>
  <c r="F211" i="1" s="1"/>
  <c r="G210" i="1"/>
  <c r="F210" i="1"/>
  <c r="E210" i="1"/>
  <c r="E209" i="1"/>
  <c r="G209" i="1" s="1"/>
  <c r="F208" i="1"/>
  <c r="E208" i="1"/>
  <c r="G208" i="1" s="1"/>
  <c r="E207" i="1"/>
  <c r="F207" i="1" s="1"/>
  <c r="G206" i="1"/>
  <c r="F206" i="1"/>
  <c r="E206" i="1"/>
  <c r="G205" i="1"/>
  <c r="F205" i="1"/>
  <c r="E205" i="1"/>
  <c r="E204" i="1"/>
  <c r="G204" i="1" s="1"/>
  <c r="G203" i="1"/>
  <c r="E203" i="1"/>
  <c r="F203" i="1" s="1"/>
  <c r="G202" i="1"/>
  <c r="F202" i="1"/>
  <c r="E202" i="1"/>
  <c r="E201" i="1"/>
  <c r="G201" i="1" s="1"/>
  <c r="F200" i="1"/>
  <c r="E200" i="1"/>
  <c r="G200" i="1" s="1"/>
  <c r="E199" i="1"/>
  <c r="F199" i="1" s="1"/>
  <c r="G198" i="1"/>
  <c r="F198" i="1"/>
  <c r="E198" i="1"/>
  <c r="G197" i="1"/>
  <c r="F197" i="1"/>
  <c r="E197" i="1"/>
  <c r="E196" i="1"/>
  <c r="G196" i="1" s="1"/>
  <c r="G195" i="1"/>
  <c r="E195" i="1"/>
  <c r="F195" i="1" s="1"/>
  <c r="G194" i="1"/>
  <c r="F194" i="1"/>
  <c r="E194" i="1"/>
  <c r="E193" i="1"/>
  <c r="G193" i="1" s="1"/>
  <c r="F192" i="1"/>
  <c r="E192" i="1"/>
  <c r="G192" i="1" s="1"/>
  <c r="E191" i="1"/>
  <c r="F191" i="1" s="1"/>
  <c r="G190" i="1"/>
  <c r="F190" i="1"/>
  <c r="E190" i="1"/>
  <c r="G189" i="1"/>
  <c r="F189" i="1"/>
  <c r="E189" i="1"/>
  <c r="E188" i="1"/>
  <c r="G188" i="1" s="1"/>
  <c r="G187" i="1"/>
  <c r="E187" i="1"/>
  <c r="F187" i="1" s="1"/>
  <c r="F186" i="1"/>
  <c r="E186" i="1"/>
  <c r="G186" i="1" s="1"/>
  <c r="E185" i="1"/>
  <c r="G185" i="1" s="1"/>
  <c r="G184" i="1"/>
  <c r="F184" i="1"/>
  <c r="E184" i="1"/>
  <c r="G183" i="1"/>
  <c r="F183" i="1"/>
  <c r="E183" i="1"/>
  <c r="E182" i="1"/>
  <c r="G182" i="1" s="1"/>
  <c r="E181" i="1"/>
  <c r="G181" i="1" s="1"/>
  <c r="G180" i="1"/>
  <c r="F180" i="1"/>
  <c r="E180" i="1"/>
  <c r="G179" i="1"/>
  <c r="F179" i="1"/>
  <c r="E179" i="1"/>
  <c r="E178" i="1"/>
  <c r="G178" i="1" s="1"/>
  <c r="E177" i="1"/>
  <c r="G177" i="1" s="1"/>
  <c r="G176" i="1"/>
  <c r="F176" i="1"/>
  <c r="E176" i="1"/>
  <c r="G175" i="1"/>
  <c r="F175" i="1"/>
  <c r="E175" i="1"/>
  <c r="E174" i="1"/>
  <c r="F174" i="1" s="1"/>
  <c r="E173" i="1"/>
  <c r="G173" i="1" s="1"/>
  <c r="G172" i="1"/>
  <c r="F172" i="1"/>
  <c r="E172" i="1"/>
  <c r="G171" i="1"/>
  <c r="F171" i="1"/>
  <c r="E171" i="1"/>
  <c r="E170" i="1"/>
  <c r="F170" i="1" s="1"/>
  <c r="E169" i="1"/>
  <c r="G169" i="1" s="1"/>
  <c r="G168" i="1"/>
  <c r="F168" i="1"/>
  <c r="E168" i="1"/>
  <c r="G167" i="1"/>
  <c r="F167" i="1"/>
  <c r="E167" i="1"/>
  <c r="E166" i="1"/>
  <c r="F166" i="1" s="1"/>
  <c r="E165" i="1"/>
  <c r="G165" i="1" s="1"/>
  <c r="G164" i="1"/>
  <c r="F164" i="1"/>
  <c r="E164" i="1"/>
  <c r="G163" i="1"/>
  <c r="F163" i="1"/>
  <c r="E163" i="1"/>
  <c r="E162" i="1"/>
  <c r="G162" i="1" s="1"/>
  <c r="E161" i="1"/>
  <c r="G161" i="1" s="1"/>
  <c r="G160" i="1"/>
  <c r="F160" i="1"/>
  <c r="E160" i="1"/>
  <c r="G159" i="1"/>
  <c r="F159" i="1"/>
  <c r="E159" i="1"/>
  <c r="E158" i="1"/>
  <c r="F158" i="1" s="1"/>
  <c r="E157" i="1"/>
  <c r="G157" i="1" s="1"/>
  <c r="G156" i="1"/>
  <c r="F156" i="1"/>
  <c r="E156" i="1"/>
  <c r="G155" i="1"/>
  <c r="F155" i="1"/>
  <c r="E155" i="1"/>
  <c r="E154" i="1"/>
  <c r="G154" i="1" s="1"/>
  <c r="E153" i="1"/>
  <c r="G153" i="1" s="1"/>
  <c r="G152" i="1"/>
  <c r="F152" i="1"/>
  <c r="E152" i="1"/>
  <c r="G151" i="1"/>
  <c r="F151" i="1"/>
  <c r="E151" i="1"/>
  <c r="E150" i="1"/>
  <c r="F150" i="1" s="1"/>
  <c r="E149" i="1"/>
  <c r="G149" i="1" s="1"/>
  <c r="G148" i="1"/>
  <c r="F148" i="1"/>
  <c r="E148" i="1"/>
  <c r="G147" i="1"/>
  <c r="F147" i="1"/>
  <c r="E147" i="1"/>
  <c r="E146" i="1"/>
  <c r="F146" i="1" s="1"/>
  <c r="E145" i="1"/>
  <c r="G145" i="1" s="1"/>
  <c r="G144" i="1"/>
  <c r="F144" i="1"/>
  <c r="E144" i="1"/>
  <c r="G143" i="1"/>
  <c r="F143" i="1"/>
  <c r="E143" i="1"/>
  <c r="E142" i="1"/>
  <c r="G142" i="1" s="1"/>
  <c r="E141" i="1"/>
  <c r="G141" i="1" s="1"/>
  <c r="G140" i="1"/>
  <c r="F140" i="1"/>
  <c r="E140" i="1"/>
  <c r="G139" i="1"/>
  <c r="F139" i="1"/>
  <c r="E139" i="1"/>
  <c r="E138" i="1"/>
  <c r="F138" i="1" s="1"/>
  <c r="E137" i="1"/>
  <c r="G137" i="1" s="1"/>
  <c r="G136" i="1"/>
  <c r="F136" i="1"/>
  <c r="E136" i="1"/>
  <c r="G135" i="1"/>
  <c r="F135" i="1"/>
  <c r="E135" i="1"/>
  <c r="E134" i="1"/>
  <c r="G134" i="1" s="1"/>
  <c r="E133" i="1"/>
  <c r="G133" i="1" s="1"/>
  <c r="G132" i="1"/>
  <c r="F132" i="1"/>
  <c r="E132" i="1"/>
  <c r="G131" i="1"/>
  <c r="F131" i="1"/>
  <c r="E131" i="1"/>
  <c r="E130" i="1"/>
  <c r="G130" i="1" s="1"/>
  <c r="E129" i="1"/>
  <c r="G129" i="1" s="1"/>
  <c r="G128" i="1"/>
  <c r="F128" i="1"/>
  <c r="E128" i="1"/>
  <c r="G127" i="1"/>
  <c r="F127" i="1"/>
  <c r="E127" i="1"/>
  <c r="E126" i="1"/>
  <c r="F126" i="1" s="1"/>
  <c r="E125" i="1"/>
  <c r="G125" i="1" s="1"/>
  <c r="G124" i="1"/>
  <c r="F124" i="1"/>
  <c r="E124" i="1"/>
  <c r="G123" i="1"/>
  <c r="F123" i="1"/>
  <c r="E123" i="1"/>
  <c r="E122" i="1"/>
  <c r="F122" i="1" s="1"/>
  <c r="E121" i="1"/>
  <c r="G121" i="1" s="1"/>
  <c r="G120" i="1"/>
  <c r="F120" i="1"/>
  <c r="E120" i="1"/>
  <c r="G119" i="1"/>
  <c r="F119" i="1"/>
  <c r="E119" i="1"/>
  <c r="E118" i="1"/>
  <c r="G118" i="1" s="1"/>
  <c r="E117" i="1"/>
  <c r="G117" i="1" s="1"/>
  <c r="G116" i="1"/>
  <c r="F116" i="1"/>
  <c r="E116" i="1"/>
  <c r="G115" i="1"/>
  <c r="F115" i="1"/>
  <c r="E115" i="1"/>
  <c r="E114" i="1"/>
  <c r="F114" i="1" s="1"/>
  <c r="E113" i="1"/>
  <c r="G113" i="1" s="1"/>
  <c r="G112" i="1"/>
  <c r="F112" i="1"/>
  <c r="E112" i="1"/>
  <c r="G111" i="1"/>
  <c r="F111" i="1"/>
  <c r="E111" i="1"/>
  <c r="E110" i="1"/>
  <c r="G110" i="1" s="1"/>
  <c r="E109" i="1"/>
  <c r="G109" i="1" s="1"/>
  <c r="G108" i="1"/>
  <c r="F108" i="1"/>
  <c r="E108" i="1"/>
  <c r="F107" i="1"/>
  <c r="E107" i="1"/>
  <c r="G107" i="1" s="1"/>
  <c r="E106" i="1"/>
  <c r="F106" i="1" s="1"/>
  <c r="G105" i="1"/>
  <c r="E105" i="1"/>
  <c r="F105" i="1" s="1"/>
  <c r="G104" i="1"/>
  <c r="F104" i="1"/>
  <c r="E104" i="1"/>
  <c r="F103" i="1"/>
  <c r="E103" i="1"/>
  <c r="G103" i="1" s="1"/>
  <c r="E102" i="1"/>
  <c r="G102" i="1" s="1"/>
  <c r="G101" i="1"/>
  <c r="E101" i="1"/>
  <c r="F101" i="1" s="1"/>
  <c r="G100" i="1"/>
  <c r="F100" i="1"/>
  <c r="E100" i="1"/>
  <c r="F99" i="1"/>
  <c r="E99" i="1"/>
  <c r="G99" i="1" s="1"/>
  <c r="E98" i="1"/>
  <c r="G98" i="1" s="1"/>
  <c r="G97" i="1"/>
  <c r="E97" i="1"/>
  <c r="F97" i="1" s="1"/>
  <c r="G96" i="1"/>
  <c r="F96" i="1"/>
  <c r="E96" i="1"/>
  <c r="F95" i="1"/>
  <c r="E95" i="1"/>
  <c r="G95" i="1" s="1"/>
  <c r="E94" i="1"/>
  <c r="G94" i="1" s="1"/>
  <c r="G93" i="1"/>
  <c r="E93" i="1"/>
  <c r="F93" i="1" s="1"/>
  <c r="G92" i="1"/>
  <c r="F92" i="1"/>
  <c r="E92" i="1"/>
  <c r="F91" i="1"/>
  <c r="E91" i="1"/>
  <c r="G91" i="1" s="1"/>
  <c r="E90" i="1"/>
  <c r="G90" i="1" s="1"/>
  <c r="G89" i="1"/>
  <c r="E89" i="1"/>
  <c r="F89" i="1" s="1"/>
  <c r="G88" i="1"/>
  <c r="F88" i="1"/>
  <c r="E88" i="1"/>
  <c r="F87" i="1"/>
  <c r="E87" i="1"/>
  <c r="G87" i="1" s="1"/>
  <c r="E86" i="1"/>
  <c r="F86" i="1" s="1"/>
  <c r="G85" i="1"/>
  <c r="E85" i="1"/>
  <c r="F85" i="1" s="1"/>
  <c r="G84" i="1"/>
  <c r="F84" i="1"/>
  <c r="E84" i="1"/>
  <c r="F83" i="1"/>
  <c r="E83" i="1"/>
  <c r="G83" i="1" s="1"/>
  <c r="E82" i="1"/>
  <c r="F82" i="1" s="1"/>
  <c r="G81" i="1"/>
  <c r="E81" i="1"/>
  <c r="F81" i="1" s="1"/>
  <c r="G80" i="1"/>
  <c r="F80" i="1"/>
  <c r="E80" i="1"/>
  <c r="F79" i="1"/>
  <c r="E79" i="1"/>
  <c r="G79" i="1" s="1"/>
  <c r="E78" i="1"/>
  <c r="G78" i="1" s="1"/>
  <c r="G77" i="1"/>
  <c r="E77" i="1"/>
  <c r="F77" i="1" s="1"/>
  <c r="G76" i="1"/>
  <c r="F76" i="1"/>
  <c r="E76" i="1"/>
  <c r="F75" i="1"/>
  <c r="E75" i="1"/>
  <c r="G75" i="1" s="1"/>
  <c r="E74" i="1"/>
  <c r="G74" i="1" s="1"/>
  <c r="G73" i="1"/>
  <c r="E73" i="1"/>
  <c r="F73" i="1" s="1"/>
  <c r="G72" i="1"/>
  <c r="F72" i="1"/>
  <c r="E72" i="1"/>
  <c r="F71" i="1"/>
  <c r="E71" i="1"/>
  <c r="G71" i="1" s="1"/>
  <c r="E70" i="1"/>
  <c r="F70" i="1" s="1"/>
  <c r="G69" i="1"/>
  <c r="E69" i="1"/>
  <c r="F69" i="1" s="1"/>
  <c r="G68" i="1"/>
  <c r="F68" i="1"/>
  <c r="E68" i="1"/>
  <c r="F67" i="1"/>
  <c r="E67" i="1"/>
  <c r="G67" i="1" s="1"/>
  <c r="E66" i="1"/>
  <c r="F66" i="1" s="1"/>
  <c r="G65" i="1"/>
  <c r="E65" i="1"/>
  <c r="F65" i="1" s="1"/>
  <c r="G64" i="1"/>
  <c r="F64" i="1"/>
  <c r="E64" i="1"/>
  <c r="F63" i="1"/>
  <c r="E63" i="1"/>
  <c r="G63" i="1" s="1"/>
  <c r="E62" i="1"/>
  <c r="G62" i="1" s="1"/>
  <c r="G61" i="1"/>
  <c r="E61" i="1"/>
  <c r="F61" i="1" s="1"/>
  <c r="G60" i="1"/>
  <c r="F60" i="1"/>
  <c r="E60" i="1"/>
  <c r="F59" i="1"/>
  <c r="E59" i="1"/>
  <c r="G59" i="1" s="1"/>
  <c r="E58" i="1"/>
  <c r="G58" i="1" s="1"/>
  <c r="G57" i="1"/>
  <c r="E57" i="1"/>
  <c r="F57" i="1" s="1"/>
  <c r="G56" i="1"/>
  <c r="F56" i="1"/>
  <c r="E56" i="1"/>
  <c r="E55" i="1"/>
  <c r="G55" i="1" s="1"/>
  <c r="E54" i="1"/>
  <c r="F54" i="1" s="1"/>
  <c r="G53" i="1"/>
  <c r="E53" i="1"/>
  <c r="F53" i="1" s="1"/>
  <c r="G52" i="1"/>
  <c r="F52" i="1"/>
  <c r="E52" i="1"/>
  <c r="E51" i="1"/>
  <c r="G51" i="1" s="1"/>
  <c r="E50" i="1"/>
  <c r="F50" i="1" s="1"/>
  <c r="G49" i="1"/>
  <c r="E49" i="1"/>
  <c r="F49" i="1" s="1"/>
  <c r="G48" i="1"/>
  <c r="F48" i="1"/>
  <c r="E48" i="1"/>
  <c r="E47" i="1"/>
  <c r="G47" i="1" s="1"/>
  <c r="E46" i="1"/>
  <c r="G46" i="1" s="1"/>
  <c r="G45" i="1"/>
  <c r="E45" i="1"/>
  <c r="F45" i="1" s="1"/>
  <c r="G44" i="1"/>
  <c r="F44" i="1"/>
  <c r="E44" i="1"/>
  <c r="E43" i="1"/>
  <c r="F43" i="1" s="1"/>
  <c r="E42" i="1"/>
  <c r="G42" i="1" s="1"/>
  <c r="G41" i="1"/>
  <c r="E41" i="1"/>
  <c r="F41" i="1" s="1"/>
  <c r="G40" i="1"/>
  <c r="F40" i="1"/>
  <c r="E40" i="1"/>
  <c r="E39" i="1"/>
  <c r="G39" i="1" s="1"/>
  <c r="E38" i="1"/>
  <c r="G38" i="1" s="1"/>
  <c r="G37" i="1"/>
  <c r="E37" i="1"/>
  <c r="F37" i="1" s="1"/>
  <c r="G36" i="1"/>
  <c r="F36" i="1"/>
  <c r="E36" i="1"/>
  <c r="E35" i="1"/>
  <c r="F35" i="1" s="1"/>
  <c r="E34" i="1"/>
  <c r="G34" i="1" s="1"/>
  <c r="G33" i="1"/>
  <c r="E33" i="1"/>
  <c r="F33" i="1" s="1"/>
  <c r="G32" i="1"/>
  <c r="F32" i="1"/>
  <c r="E32" i="1"/>
  <c r="E31" i="1"/>
  <c r="G31" i="1" s="1"/>
  <c r="E30" i="1"/>
  <c r="G30" i="1" s="1"/>
  <c r="G29" i="1"/>
  <c r="E29" i="1"/>
  <c r="F29" i="1" s="1"/>
  <c r="G28" i="1"/>
  <c r="F28" i="1"/>
  <c r="E28" i="1"/>
  <c r="E27" i="1"/>
  <c r="G27" i="1" s="1"/>
  <c r="E26" i="1"/>
  <c r="F26" i="1" s="1"/>
  <c r="G25" i="1"/>
  <c r="E25" i="1"/>
  <c r="F25" i="1" s="1"/>
  <c r="G24" i="1"/>
  <c r="F24" i="1"/>
  <c r="E24" i="1"/>
  <c r="E23" i="1"/>
  <c r="G23" i="1" s="1"/>
  <c r="E22" i="1"/>
  <c r="F22" i="1" s="1"/>
  <c r="G21" i="1"/>
  <c r="E21" i="1"/>
  <c r="F21" i="1" s="1"/>
  <c r="G20" i="1"/>
  <c r="F20" i="1"/>
  <c r="E20" i="1"/>
  <c r="E19" i="1"/>
  <c r="G19" i="1" s="1"/>
  <c r="E18" i="1"/>
  <c r="G18" i="1" s="1"/>
  <c r="G17" i="1"/>
  <c r="E17" i="1"/>
  <c r="F17" i="1" s="1"/>
  <c r="G16" i="1"/>
  <c r="F16" i="1"/>
  <c r="E16" i="1"/>
  <c r="E15" i="1"/>
  <c r="F15" i="1" s="1"/>
  <c r="E14" i="1"/>
  <c r="G14" i="1" s="1"/>
  <c r="G13" i="1"/>
  <c r="E13" i="1"/>
  <c r="F13" i="1" s="1"/>
  <c r="G12" i="1"/>
  <c r="F12" i="1"/>
  <c r="E12" i="1"/>
  <c r="E11" i="1"/>
  <c r="G11" i="1" s="1"/>
  <c r="E10" i="1"/>
  <c r="F10" i="1" s="1"/>
  <c r="G9" i="1"/>
  <c r="E9" i="1"/>
  <c r="F9" i="1" s="1"/>
  <c r="G8" i="1"/>
  <c r="F8" i="1"/>
  <c r="E8" i="1"/>
  <c r="E7" i="1"/>
  <c r="G7" i="1" s="1"/>
  <c r="E6" i="1"/>
  <c r="F6" i="1" s="1"/>
  <c r="G5" i="1"/>
  <c r="E5" i="1"/>
  <c r="F5" i="1" s="1"/>
  <c r="G4" i="1"/>
  <c r="F4" i="1"/>
  <c r="E4" i="1"/>
  <c r="E3" i="1"/>
  <c r="G3" i="1" s="1"/>
  <c r="P9" i="1"/>
  <c r="P8" i="1"/>
  <c r="P7" i="1"/>
  <c r="P6" i="1"/>
  <c r="F3" i="1" l="1"/>
  <c r="F11" i="1"/>
  <c r="F19" i="1"/>
  <c r="F31" i="1"/>
  <c r="F39" i="1"/>
  <c r="F47" i="1"/>
  <c r="F55" i="1"/>
  <c r="F14" i="1"/>
  <c r="G15" i="1"/>
  <c r="F18" i="1"/>
  <c r="F30" i="1"/>
  <c r="F34" i="1"/>
  <c r="G35" i="1"/>
  <c r="F38" i="1"/>
  <c r="F42" i="1"/>
  <c r="G43" i="1"/>
  <c r="F46" i="1"/>
  <c r="F58" i="1"/>
  <c r="F62" i="1"/>
  <c r="F74" i="1"/>
  <c r="F78" i="1"/>
  <c r="F90" i="1"/>
  <c r="F94" i="1"/>
  <c r="F98" i="1"/>
  <c r="F102" i="1"/>
  <c r="F110" i="1"/>
  <c r="F118" i="1"/>
  <c r="F130" i="1"/>
  <c r="F134" i="1"/>
  <c r="F142" i="1"/>
  <c r="F154" i="1"/>
  <c r="F162" i="1"/>
  <c r="F178" i="1"/>
  <c r="F182" i="1"/>
  <c r="P5" i="1"/>
  <c r="G6" i="1"/>
  <c r="G10" i="1"/>
  <c r="G22" i="1"/>
  <c r="G26" i="1"/>
  <c r="G50" i="1"/>
  <c r="G54" i="1"/>
  <c r="G66" i="1"/>
  <c r="G70" i="1"/>
  <c r="G82" i="1"/>
  <c r="G86" i="1"/>
  <c r="G106" i="1"/>
  <c r="F109" i="1"/>
  <c r="F113" i="1"/>
  <c r="G114" i="1"/>
  <c r="F117" i="1"/>
  <c r="F121" i="1"/>
  <c r="G122" i="1"/>
  <c r="F125" i="1"/>
  <c r="G126" i="1"/>
  <c r="F129" i="1"/>
  <c r="F133" i="1"/>
  <c r="F137" i="1"/>
  <c r="G138" i="1"/>
  <c r="F141" i="1"/>
  <c r="F145" i="1"/>
  <c r="G146" i="1"/>
  <c r="F149" i="1"/>
  <c r="G150" i="1"/>
  <c r="F153" i="1"/>
  <c r="F157" i="1"/>
  <c r="G158" i="1"/>
  <c r="F161" i="1"/>
  <c r="F165" i="1"/>
  <c r="G166" i="1"/>
  <c r="F169" i="1"/>
  <c r="G170" i="1"/>
  <c r="F173" i="1"/>
  <c r="G174" i="1"/>
  <c r="F177" i="1"/>
  <c r="F181" i="1"/>
  <c r="F185" i="1"/>
  <c r="F188" i="1"/>
  <c r="G191" i="1"/>
  <c r="F193" i="1"/>
  <c r="F196" i="1"/>
  <c r="G199" i="1"/>
  <c r="F201" i="1"/>
  <c r="F204" i="1"/>
  <c r="G207" i="1"/>
  <c r="F209" i="1"/>
  <c r="F212" i="1"/>
  <c r="G215" i="1"/>
  <c r="F217" i="1"/>
  <c r="F220" i="1"/>
  <c r="G223" i="1"/>
  <c r="F225" i="1"/>
  <c r="F228" i="1"/>
  <c r="G231" i="1"/>
  <c r="F233" i="1"/>
  <c r="F236" i="1"/>
  <c r="G239" i="1"/>
  <c r="F241" i="1"/>
  <c r="F244" i="1"/>
  <c r="G247" i="1"/>
  <c r="F249" i="1"/>
  <c r="F252" i="1"/>
  <c r="G255" i="1"/>
  <c r="F257" i="1"/>
  <c r="F260" i="1"/>
  <c r="G263" i="1"/>
  <c r="F265" i="1"/>
  <c r="F268" i="1"/>
  <c r="G271" i="1"/>
  <c r="F273" i="1"/>
  <c r="F276" i="1"/>
  <c r="G279" i="1"/>
  <c r="F281" i="1"/>
  <c r="F284" i="1"/>
  <c r="G287" i="1"/>
  <c r="F289" i="1"/>
  <c r="F292" i="1"/>
  <c r="G295" i="1"/>
  <c r="F297" i="1"/>
  <c r="F300" i="1"/>
  <c r="G303" i="1"/>
  <c r="F305" i="1"/>
  <c r="F308" i="1"/>
  <c r="G311" i="1"/>
  <c r="F313" i="1"/>
  <c r="F316" i="1"/>
  <c r="G319" i="1"/>
  <c r="F321" i="1"/>
  <c r="F324" i="1"/>
  <c r="G327" i="1"/>
  <c r="F329" i="1"/>
  <c r="F332" i="1"/>
  <c r="G335" i="1"/>
  <c r="F337" i="1"/>
  <c r="F340" i="1"/>
  <c r="G343" i="1"/>
  <c r="F345" i="1"/>
  <c r="F348" i="1"/>
  <c r="G355" i="1"/>
  <c r="F355" i="1"/>
  <c r="F364" i="1"/>
  <c r="G371" i="1"/>
  <c r="F371" i="1"/>
  <c r="F380" i="1"/>
  <c r="G387" i="1"/>
  <c r="F387" i="1"/>
  <c r="F396" i="1"/>
  <c r="G403" i="1"/>
  <c r="F403" i="1"/>
  <c r="F412" i="1"/>
  <c r="G419" i="1"/>
  <c r="F419" i="1"/>
  <c r="F428" i="1"/>
  <c r="G435" i="1"/>
  <c r="F435" i="1"/>
  <c r="F444" i="1"/>
  <c r="G451" i="1"/>
  <c r="F451" i="1"/>
  <c r="G359" i="1"/>
  <c r="F359" i="1"/>
  <c r="G375" i="1"/>
  <c r="F375" i="1"/>
  <c r="G391" i="1"/>
  <c r="F391" i="1"/>
  <c r="G407" i="1"/>
  <c r="F407" i="1"/>
  <c r="G423" i="1"/>
  <c r="F423" i="1"/>
  <c r="G439" i="1"/>
  <c r="F439" i="1"/>
  <c r="G455" i="1"/>
  <c r="F455" i="1"/>
  <c r="G363" i="1"/>
  <c r="F363" i="1"/>
  <c r="G379" i="1"/>
  <c r="F379" i="1"/>
  <c r="G395" i="1"/>
  <c r="F395" i="1"/>
  <c r="G411" i="1"/>
  <c r="F411" i="1"/>
  <c r="G427" i="1"/>
  <c r="F427" i="1"/>
  <c r="G443" i="1"/>
  <c r="F443" i="1"/>
  <c r="G459" i="1"/>
  <c r="F459" i="1"/>
  <c r="F7" i="1"/>
  <c r="F23" i="1"/>
  <c r="F27" i="1"/>
  <c r="F51" i="1"/>
  <c r="G351" i="1"/>
  <c r="F351" i="1"/>
  <c r="G367" i="1"/>
  <c r="F367" i="1"/>
  <c r="G383" i="1"/>
  <c r="F383" i="1"/>
  <c r="G399" i="1"/>
  <c r="F399" i="1"/>
  <c r="G415" i="1"/>
  <c r="F415" i="1"/>
  <c r="G431" i="1"/>
  <c r="F431" i="1"/>
  <c r="G447" i="1"/>
  <c r="F447" i="1"/>
  <c r="G462" i="1"/>
  <c r="F462" i="1"/>
  <c r="F465" i="1"/>
  <c r="G468" i="1"/>
  <c r="F470" i="1"/>
  <c r="F473" i="1"/>
  <c r="G476" i="1"/>
  <c r="F478" i="1"/>
  <c r="F481" i="1"/>
  <c r="G484" i="1"/>
  <c r="F486" i="1"/>
  <c r="F489" i="1"/>
  <c r="G492" i="1"/>
  <c r="F494" i="1"/>
  <c r="F497" i="1"/>
  <c r="G500" i="1"/>
  <c r="F502" i="1"/>
  <c r="F505" i="1"/>
  <c r="G508" i="1"/>
  <c r="F510" i="1"/>
  <c r="F513" i="1"/>
  <c r="G516" i="1"/>
  <c r="F518" i="1"/>
  <c r="F521" i="1"/>
  <c r="G524" i="1"/>
  <c r="F526" i="1"/>
  <c r="F533" i="1"/>
  <c r="G540" i="1"/>
  <c r="F540" i="1"/>
  <c r="F549" i="1"/>
  <c r="G556" i="1"/>
  <c r="F556" i="1"/>
  <c r="F565" i="1"/>
  <c r="G572" i="1"/>
  <c r="F572" i="1"/>
  <c r="F581" i="1"/>
  <c r="G588" i="1"/>
  <c r="F588" i="1"/>
  <c r="F597" i="1"/>
  <c r="F601" i="1"/>
  <c r="G601" i="1"/>
  <c r="F605" i="1"/>
  <c r="G605" i="1"/>
  <c r="F609" i="1"/>
  <c r="G609" i="1"/>
  <c r="G528" i="1"/>
  <c r="F528" i="1"/>
  <c r="F537" i="1"/>
  <c r="G544" i="1"/>
  <c r="F544" i="1"/>
  <c r="F553" i="1"/>
  <c r="G560" i="1"/>
  <c r="F560" i="1"/>
  <c r="F569" i="1"/>
  <c r="G576" i="1"/>
  <c r="F576" i="1"/>
  <c r="F585" i="1"/>
  <c r="G592" i="1"/>
  <c r="F592" i="1"/>
  <c r="G532" i="1"/>
  <c r="F532" i="1"/>
  <c r="G548" i="1"/>
  <c r="F548" i="1"/>
  <c r="G564" i="1"/>
  <c r="F564" i="1"/>
  <c r="G580" i="1"/>
  <c r="F580" i="1"/>
  <c r="G596" i="1"/>
  <c r="F596" i="1"/>
  <c r="F529" i="1"/>
  <c r="G536" i="1"/>
  <c r="F536" i="1"/>
  <c r="F545" i="1"/>
  <c r="G552" i="1"/>
  <c r="F552" i="1"/>
  <c r="F561" i="1"/>
  <c r="G568" i="1"/>
  <c r="F568" i="1"/>
  <c r="F577" i="1"/>
  <c r="G584" i="1"/>
  <c r="F584" i="1"/>
  <c r="F593" i="1"/>
  <c r="G600" i="1"/>
  <c r="F600" i="1"/>
  <c r="F604" i="1"/>
  <c r="F608" i="1"/>
  <c r="F612" i="1"/>
  <c r="G613" i="1"/>
  <c r="F616" i="1"/>
  <c r="G617" i="1"/>
  <c r="F620" i="1"/>
  <c r="G621" i="1"/>
  <c r="F624" i="1"/>
  <c r="G625" i="1"/>
  <c r="F628" i="1"/>
  <c r="G629" i="1"/>
</calcChain>
</file>

<file path=xl/sharedStrings.xml><?xml version="1.0" encoding="utf-8"?>
<sst xmlns="http://schemas.openxmlformats.org/spreadsheetml/2006/main" count="7" uniqueCount="6">
  <si>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</si>
  <si>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</si>
  <si>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</si>
  <si>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ratio</t>
  </si>
  <si>
    <r>
      <t>A</t>
    </r>
    <r>
      <rPr>
        <b/>
        <sz val="8"/>
        <color theme="1"/>
        <rFont val="Arial Cyr"/>
        <charset val="204"/>
      </rPr>
      <t>0</t>
    </r>
  </si>
  <si>
    <r>
      <t>B</t>
    </r>
    <r>
      <rPr>
        <b/>
        <sz val="8"/>
        <color theme="1"/>
        <rFont val="Arial Cyr"/>
        <charset val="204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</si>
</sst>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rgb="FFFF0000"/>
      <name val="Arial Cyr"/>
      <charset val="204"/>
    </font>
    <font>
      <sz val="10"/>
      <color rgb="FFFFC000"/>
      <name val="Arial Cyr"/>
      <charset val="204"/>
    </font>
    <font>
      <sz val="10"/>
      <color indexed="5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0"/>
      <color rgb="FF002060"/>
      <name val="Arial Cyr"/>
      <charset val="204"/>
    </font>
    <font>
      <b/>
      <sz val="10"/>
      <color rgb="FFFFFF00"/>
      <name val="Arial Cyr"/>
      <charset val="204"/>
    </font>
    <font>
      <b/>
      <i/>
      <sz val="12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0"/>
      <color theme="9" tint="-0.249977111117893"/>
      <name val="Arial Cyr"/>
      <charset val="204"/>
    </font>
    <font>
      <sz val="10"/>
      <color theme="9" tint="-0.249977111117893"/>
      <name val="Arial Cyr"/>
      <charset val="204"/>
    </font>
    <font>
      <sz val="10"/>
      <color theme="9" tint="-0.249977111117893"/>
      <name val="Arial"/>
      <family val="2"/>
      <charset val="204"/>
    </font>
    <font>
      <b/>
      <sz val="10"/>
      <color theme="9" tint="-0.249977111117893"/>
      <name val="Arial"/>
      <family val="2"/>
      <charset val="204"/>
    </font>
    <font>
      <b/>
      <sz val="10"/>
      <color theme="1"/>
      <name val="Arial Cyr"/>
      <charset val="204"/>
    </font>
    <font>
      <b/>
      <sz val="11"/>
      <color theme="1"/>
      <name val="Arial Cyr"/>
      <charset val="204"/>
    </font>
    <font>
      <b/>
      <sz val="12"/>
      <color theme="1"/>
      <name val="Arial Cyr"/>
      <charset val="204"/>
    </font>
    <font>
      <b/>
      <sz val="8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9" fillId="2" borderId="0" xfId="0" applyFont="1" applyFill="1"/>
    <xf numFmtId="0" fontId="8" fillId="2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0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3" borderId="0" xfId="0" applyFont="1" applyFill="1"/>
    <xf numFmtId="0" fontId="13" fillId="2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/>
    <xf numFmtId="0" fontId="17" fillId="0" borderId="0" xfId="0" applyFont="1" applyFill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19" fillId="3" borderId="0" xfId="0" applyFont="1" applyFill="1"/>
    <xf numFmtId="0" fontId="17" fillId="3" borderId="0" xfId="0" applyFont="1" applyFill="1"/>
    <xf numFmtId="0" fontId="19" fillId="0" borderId="0" xfId="0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1" fillId="0" borderId="0" xfId="0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6909722222223"/>
          <c:y val="2.1532142857142857E-2"/>
          <c:w val="0.82219097222222226"/>
          <c:h val="0.83897063492063495"/>
        </c:manualLayout>
      </c:layout>
      <c:scatterChart>
        <c:scatterStyle val="lineMarker"/>
        <c:varyColors val="0"/>
        <c:ser>
          <c:idx val="0"/>
          <c:order val="0"/>
          <c:tx>
            <c:v>Kolpashevo 29231</c:v>
          </c:tx>
          <c:spPr>
            <a:ln w="9525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2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  <a:prstDash val="solid"/>
              </a:ln>
            </c:spPr>
          </c:marker>
          <c:xVal>
            <c:numRef>
              <c:f>Лист1!$J$3:$J$50</c:f>
              <c:numCache>
                <c:formatCode>General</c:formatCode>
                <c:ptCount val="48"/>
                <c:pt idx="0">
                  <c:v>262.05</c:v>
                </c:pt>
                <c:pt idx="1">
                  <c:v>264.85000000000002</c:v>
                </c:pt>
                <c:pt idx="2">
                  <c:v>265.85000000000002</c:v>
                </c:pt>
                <c:pt idx="3">
                  <c:v>269.14999999999998</c:v>
                </c:pt>
                <c:pt idx="4">
                  <c:v>270.85000000000002</c:v>
                </c:pt>
                <c:pt idx="5">
                  <c:v>268.45</c:v>
                </c:pt>
                <c:pt idx="6">
                  <c:v>267.45</c:v>
                </c:pt>
                <c:pt idx="7">
                  <c:v>268.25</c:v>
                </c:pt>
                <c:pt idx="8">
                  <c:v>268.64999999999998</c:v>
                </c:pt>
                <c:pt idx="9">
                  <c:v>268.45</c:v>
                </c:pt>
                <c:pt idx="10">
                  <c:v>267.14999999999998</c:v>
                </c:pt>
                <c:pt idx="11">
                  <c:v>265.45</c:v>
                </c:pt>
                <c:pt idx="12">
                  <c:v>265.64999999999998</c:v>
                </c:pt>
                <c:pt idx="13">
                  <c:v>263.25</c:v>
                </c:pt>
                <c:pt idx="14">
                  <c:v>263.85000000000002</c:v>
                </c:pt>
                <c:pt idx="15">
                  <c:v>263.64999999999998</c:v>
                </c:pt>
                <c:pt idx="16">
                  <c:v>263.05</c:v>
                </c:pt>
                <c:pt idx="17">
                  <c:v>261.45</c:v>
                </c:pt>
                <c:pt idx="18">
                  <c:v>260.05</c:v>
                </c:pt>
                <c:pt idx="19">
                  <c:v>256.05</c:v>
                </c:pt>
                <c:pt idx="20">
                  <c:v>249.65</c:v>
                </c:pt>
                <c:pt idx="21">
                  <c:v>247.65</c:v>
                </c:pt>
                <c:pt idx="22">
                  <c:v>246.45</c:v>
                </c:pt>
                <c:pt idx="23">
                  <c:v>244.65</c:v>
                </c:pt>
                <c:pt idx="24">
                  <c:v>243.05</c:v>
                </c:pt>
                <c:pt idx="25">
                  <c:v>237.45</c:v>
                </c:pt>
                <c:pt idx="26">
                  <c:v>235.85</c:v>
                </c:pt>
                <c:pt idx="27">
                  <c:v>230.05</c:v>
                </c:pt>
                <c:pt idx="28">
                  <c:v>228.45</c:v>
                </c:pt>
                <c:pt idx="29">
                  <c:v>221.65</c:v>
                </c:pt>
                <c:pt idx="30">
                  <c:v>213.05</c:v>
                </c:pt>
                <c:pt idx="31">
                  <c:v>212.25</c:v>
                </c:pt>
                <c:pt idx="32">
                  <c:v>208.45</c:v>
                </c:pt>
                <c:pt idx="33">
                  <c:v>207.85</c:v>
                </c:pt>
                <c:pt idx="34">
                  <c:v>209.25</c:v>
                </c:pt>
                <c:pt idx="35">
                  <c:v>210.25</c:v>
                </c:pt>
                <c:pt idx="36">
                  <c:v>211.05</c:v>
                </c:pt>
                <c:pt idx="37">
                  <c:v>212.85</c:v>
                </c:pt>
                <c:pt idx="38">
                  <c:v>213.45</c:v>
                </c:pt>
                <c:pt idx="39">
                  <c:v>212.95</c:v>
                </c:pt>
                <c:pt idx="40">
                  <c:v>211.25</c:v>
                </c:pt>
                <c:pt idx="41">
                  <c:v>211.05</c:v>
                </c:pt>
                <c:pt idx="42">
                  <c:v>211.05</c:v>
                </c:pt>
              </c:numCache>
            </c:numRef>
          </c:xVal>
          <c:yVal>
            <c:numRef>
              <c:f>Лист1!$I$3:$I$50</c:f>
              <c:numCache>
                <c:formatCode>General</c:formatCode>
                <c:ptCount val="48"/>
                <c:pt idx="0">
                  <c:v>7.4999999999999997E-2</c:v>
                </c:pt>
                <c:pt idx="1">
                  <c:v>0.156</c:v>
                </c:pt>
                <c:pt idx="2">
                  <c:v>0.216</c:v>
                </c:pt>
                <c:pt idx="3">
                  <c:v>0.438</c:v>
                </c:pt>
                <c:pt idx="4">
                  <c:v>0.55100000000000005</c:v>
                </c:pt>
                <c:pt idx="5">
                  <c:v>0.82599999999999996</c:v>
                </c:pt>
                <c:pt idx="6">
                  <c:v>0.95599999999999996</c:v>
                </c:pt>
                <c:pt idx="7">
                  <c:v>1.351</c:v>
                </c:pt>
                <c:pt idx="8">
                  <c:v>1.4630000000000001</c:v>
                </c:pt>
                <c:pt idx="9">
                  <c:v>1.5</c:v>
                </c:pt>
                <c:pt idx="10">
                  <c:v>1.6759999999999999</c:v>
                </c:pt>
                <c:pt idx="11">
                  <c:v>1.895</c:v>
                </c:pt>
                <c:pt idx="12">
                  <c:v>2.0489999999999999</c:v>
                </c:pt>
                <c:pt idx="13">
                  <c:v>2.5419999999999998</c:v>
                </c:pt>
                <c:pt idx="14">
                  <c:v>2.9449999999999998</c:v>
                </c:pt>
                <c:pt idx="15">
                  <c:v>3</c:v>
                </c:pt>
                <c:pt idx="16">
                  <c:v>3.2010000000000001</c:v>
                </c:pt>
                <c:pt idx="17">
                  <c:v>3.5230000000000001</c:v>
                </c:pt>
                <c:pt idx="18">
                  <c:v>3.798</c:v>
                </c:pt>
                <c:pt idx="19">
                  <c:v>4.3609999999999998</c:v>
                </c:pt>
                <c:pt idx="20">
                  <c:v>5.2519999999999998</c:v>
                </c:pt>
                <c:pt idx="21">
                  <c:v>5.53</c:v>
                </c:pt>
                <c:pt idx="22">
                  <c:v>5.72</c:v>
                </c:pt>
                <c:pt idx="23">
                  <c:v>5.9909999999999997</c:v>
                </c:pt>
                <c:pt idx="24">
                  <c:v>6.1920000000000002</c:v>
                </c:pt>
                <c:pt idx="25">
                  <c:v>6.9029999999999996</c:v>
                </c:pt>
                <c:pt idx="26">
                  <c:v>7.11</c:v>
                </c:pt>
                <c:pt idx="27">
                  <c:v>7.7709999999999999</c:v>
                </c:pt>
                <c:pt idx="28">
                  <c:v>8.0350000000000001</c:v>
                </c:pt>
                <c:pt idx="29">
                  <c:v>9.0299999999999994</c:v>
                </c:pt>
                <c:pt idx="30">
                  <c:v>10.19</c:v>
                </c:pt>
                <c:pt idx="31">
                  <c:v>10.315</c:v>
                </c:pt>
                <c:pt idx="32">
                  <c:v>10.896000000000001</c:v>
                </c:pt>
                <c:pt idx="33">
                  <c:v>11.175000000000001</c:v>
                </c:pt>
                <c:pt idx="34">
                  <c:v>11.56</c:v>
                </c:pt>
                <c:pt idx="35">
                  <c:v>12.042</c:v>
                </c:pt>
                <c:pt idx="36">
                  <c:v>12.457000000000001</c:v>
                </c:pt>
                <c:pt idx="37">
                  <c:v>13.34</c:v>
                </c:pt>
                <c:pt idx="38">
                  <c:v>13.551</c:v>
                </c:pt>
                <c:pt idx="39">
                  <c:v>14.042</c:v>
                </c:pt>
                <c:pt idx="40">
                  <c:v>15.86</c:v>
                </c:pt>
                <c:pt idx="41">
                  <c:v>15.984999999999999</c:v>
                </c:pt>
                <c:pt idx="42">
                  <c:v>15.997999999999999</c:v>
                </c:pt>
              </c:numCache>
            </c:numRef>
          </c:yVal>
          <c:smooth val="1"/>
        </c:ser>
        <c:ser>
          <c:idx val="1"/>
          <c:order val="1"/>
          <c:tx>
            <c:v>Novosibirsk 29634</c:v>
          </c:tx>
          <c:spPr>
            <a:ln w="9525">
              <a:solidFill>
                <a:srgbClr val="00206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2060"/>
              </a:solidFill>
              <a:ln>
                <a:solidFill>
                  <a:srgbClr val="002060"/>
                </a:solidFill>
                <a:prstDash val="solid"/>
              </a:ln>
            </c:spPr>
          </c:marker>
          <c:xVal>
            <c:numRef>
              <c:f>Лист1!$L$3:$L$50</c:f>
              <c:numCache>
                <c:formatCode>General</c:formatCode>
                <c:ptCount val="48"/>
                <c:pt idx="0">
                  <c:v>264.85000000000002</c:v>
                </c:pt>
                <c:pt idx="1">
                  <c:v>265.85000000000002</c:v>
                </c:pt>
                <c:pt idx="2">
                  <c:v>267.75</c:v>
                </c:pt>
                <c:pt idx="3">
                  <c:v>271.64999999999998</c:v>
                </c:pt>
                <c:pt idx="4">
                  <c:v>271.35000000000002</c:v>
                </c:pt>
                <c:pt idx="5">
                  <c:v>270.25</c:v>
                </c:pt>
                <c:pt idx="6">
                  <c:v>267.05</c:v>
                </c:pt>
                <c:pt idx="7">
                  <c:v>266.64999999999998</c:v>
                </c:pt>
                <c:pt idx="8">
                  <c:v>266.45</c:v>
                </c:pt>
                <c:pt idx="9">
                  <c:v>265.35000000000002</c:v>
                </c:pt>
                <c:pt idx="10">
                  <c:v>261.85000000000002</c:v>
                </c:pt>
                <c:pt idx="11">
                  <c:v>261.05</c:v>
                </c:pt>
                <c:pt idx="12">
                  <c:v>260.05</c:v>
                </c:pt>
                <c:pt idx="13">
                  <c:v>256.35000000000002</c:v>
                </c:pt>
                <c:pt idx="14">
                  <c:v>256.05</c:v>
                </c:pt>
                <c:pt idx="15">
                  <c:v>246.85</c:v>
                </c:pt>
                <c:pt idx="16">
                  <c:v>239.55</c:v>
                </c:pt>
                <c:pt idx="17">
                  <c:v>238.85</c:v>
                </c:pt>
                <c:pt idx="18">
                  <c:v>234.85</c:v>
                </c:pt>
                <c:pt idx="19">
                  <c:v>228.25</c:v>
                </c:pt>
                <c:pt idx="20">
                  <c:v>219.25</c:v>
                </c:pt>
                <c:pt idx="21">
                  <c:v>217.65</c:v>
                </c:pt>
                <c:pt idx="22">
                  <c:v>211.75</c:v>
                </c:pt>
                <c:pt idx="23">
                  <c:v>211.45</c:v>
                </c:pt>
                <c:pt idx="24">
                  <c:v>211.65</c:v>
                </c:pt>
                <c:pt idx="25">
                  <c:v>211.95</c:v>
                </c:pt>
                <c:pt idx="26">
                  <c:v>212.05</c:v>
                </c:pt>
                <c:pt idx="27">
                  <c:v>214.65</c:v>
                </c:pt>
                <c:pt idx="28">
                  <c:v>215.45</c:v>
                </c:pt>
                <c:pt idx="29">
                  <c:v>215.35</c:v>
                </c:pt>
                <c:pt idx="30">
                  <c:v>215.25</c:v>
                </c:pt>
                <c:pt idx="31">
                  <c:v>215.15</c:v>
                </c:pt>
                <c:pt idx="32">
                  <c:v>215.05</c:v>
                </c:pt>
                <c:pt idx="33">
                  <c:v>213.45</c:v>
                </c:pt>
                <c:pt idx="34">
                  <c:v>212.35</c:v>
                </c:pt>
              </c:numCache>
            </c:numRef>
          </c:xVal>
          <c:yVal>
            <c:numRef>
              <c:f>Лист1!$K$3:$K$50</c:f>
              <c:numCache>
                <c:formatCode>General</c:formatCode>
                <c:ptCount val="48"/>
                <c:pt idx="0">
                  <c:v>0.14299999999999999</c:v>
                </c:pt>
                <c:pt idx="1">
                  <c:v>0.19600000000000001</c:v>
                </c:pt>
                <c:pt idx="2">
                  <c:v>0.29099999999999998</c:v>
                </c:pt>
                <c:pt idx="3">
                  <c:v>0.49299999999999999</c:v>
                </c:pt>
                <c:pt idx="4">
                  <c:v>0.55100000000000005</c:v>
                </c:pt>
                <c:pt idx="5">
                  <c:v>0.81200000000000006</c:v>
                </c:pt>
                <c:pt idx="6">
                  <c:v>1.212</c:v>
                </c:pt>
                <c:pt idx="7">
                  <c:v>1.2569999999999999</c:v>
                </c:pt>
                <c:pt idx="8">
                  <c:v>1.474</c:v>
                </c:pt>
                <c:pt idx="9">
                  <c:v>1.847</c:v>
                </c:pt>
                <c:pt idx="10">
                  <c:v>2.9769999999999999</c:v>
                </c:pt>
                <c:pt idx="11">
                  <c:v>3.3690000000000002</c:v>
                </c:pt>
                <c:pt idx="12">
                  <c:v>3.5529999999999999</c:v>
                </c:pt>
                <c:pt idx="13">
                  <c:v>4.2480000000000002</c:v>
                </c:pt>
                <c:pt idx="14">
                  <c:v>4.2990000000000004</c:v>
                </c:pt>
                <c:pt idx="15">
                  <c:v>5.49</c:v>
                </c:pt>
                <c:pt idx="16">
                  <c:v>6.5490000000000004</c:v>
                </c:pt>
                <c:pt idx="17">
                  <c:v>6.649</c:v>
                </c:pt>
                <c:pt idx="18">
                  <c:v>7.07</c:v>
                </c:pt>
                <c:pt idx="19">
                  <c:v>7.8810000000000002</c:v>
                </c:pt>
                <c:pt idx="20">
                  <c:v>8.98</c:v>
                </c:pt>
                <c:pt idx="21">
                  <c:v>9.0879999999999992</c:v>
                </c:pt>
                <c:pt idx="22">
                  <c:v>10.031000000000001</c:v>
                </c:pt>
                <c:pt idx="23">
                  <c:v>10.081</c:v>
                </c:pt>
                <c:pt idx="24">
                  <c:v>10.130000000000001</c:v>
                </c:pt>
                <c:pt idx="25">
                  <c:v>10.435</c:v>
                </c:pt>
                <c:pt idx="26">
                  <c:v>10.54</c:v>
                </c:pt>
                <c:pt idx="27">
                  <c:v>11.52</c:v>
                </c:pt>
                <c:pt idx="28">
                  <c:v>11.712999999999999</c:v>
                </c:pt>
                <c:pt idx="29">
                  <c:v>12.151</c:v>
                </c:pt>
                <c:pt idx="30">
                  <c:v>12.585000000000001</c:v>
                </c:pt>
                <c:pt idx="31">
                  <c:v>13.051</c:v>
                </c:pt>
                <c:pt idx="32">
                  <c:v>13.34</c:v>
                </c:pt>
                <c:pt idx="33">
                  <c:v>15.89</c:v>
                </c:pt>
                <c:pt idx="34">
                  <c:v>16.757000000000001</c:v>
                </c:pt>
              </c:numCache>
            </c:numRef>
          </c:yVal>
          <c:smooth val="1"/>
        </c:ser>
        <c:ser>
          <c:idx val="2"/>
          <c:order val="2"/>
          <c:tx>
            <c:v>Tomsk (CPAC points)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00"/>
              </a:solidFill>
              <a:ln w="15875">
                <a:solidFill>
                  <a:schemeClr val="tx1"/>
                </a:solidFill>
                <a:prstDash val="solid"/>
              </a:ln>
            </c:spPr>
          </c:marker>
          <c:xVal>
            <c:numRef>
              <c:f>Лист1!$N$3:$N$9</c:f>
              <c:numCache>
                <c:formatCode>General</c:formatCode>
                <c:ptCount val="7"/>
                <c:pt idx="0">
                  <c:v>269.14999999999998</c:v>
                </c:pt>
                <c:pt idx="1">
                  <c:v>267.14999999999998</c:v>
                </c:pt>
                <c:pt idx="2">
                  <c:v>262.64999999999998</c:v>
                </c:pt>
                <c:pt idx="3">
                  <c:v>246.65</c:v>
                </c:pt>
                <c:pt idx="4">
                  <c:v>235.65</c:v>
                </c:pt>
                <c:pt idx="5">
                  <c:v>219.15</c:v>
                </c:pt>
                <c:pt idx="6">
                  <c:v>211.65</c:v>
                </c:pt>
              </c:numCache>
            </c:numRef>
          </c:xVal>
          <c:yVal>
            <c:numRef>
              <c:f>Лист1!$M$3:$M$9</c:f>
              <c:numCache>
                <c:formatCode>General</c:formatCode>
                <c:ptCount val="7"/>
                <c:pt idx="0">
                  <c:v>0.82</c:v>
                </c:pt>
                <c:pt idx="1">
                  <c:v>1.48</c:v>
                </c:pt>
                <c:pt idx="2">
                  <c:v>2.99</c:v>
                </c:pt>
                <c:pt idx="3">
                  <c:v>5.51</c:v>
                </c:pt>
                <c:pt idx="4">
                  <c:v>7.09</c:v>
                </c:pt>
                <c:pt idx="5">
                  <c:v>9.01</c:v>
                </c:pt>
                <c:pt idx="6">
                  <c:v>11.62</c:v>
                </c:pt>
              </c:numCache>
            </c:numRef>
          </c:yVal>
          <c:smooth val="0"/>
        </c:ser>
        <c:ser>
          <c:idx val="3"/>
          <c:order val="3"/>
          <c:tx>
            <c:v>Retrieved profile (Eq. (11))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Лист1!$E$3:$E$630</c:f>
              <c:numCache>
                <c:formatCode>General</c:formatCode>
                <c:ptCount val="628"/>
                <c:pt idx="0">
                  <c:v>240.08098624041708</c:v>
                </c:pt>
                <c:pt idx="1">
                  <c:v>242.85978665754428</c:v>
                </c:pt>
                <c:pt idx="2">
                  <c:v>244.86906194207498</c:v>
                </c:pt>
                <c:pt idx="3">
                  <c:v>245.98145081530771</c:v>
                </c:pt>
                <c:pt idx="4">
                  <c:v>247.14228948194028</c:v>
                </c:pt>
                <c:pt idx="5">
                  <c:v>247.81169403801476</c:v>
                </c:pt>
                <c:pt idx="6">
                  <c:v>250.6632416722573</c:v>
                </c:pt>
                <c:pt idx="7">
                  <c:v>253.26407970385597</c:v>
                </c:pt>
                <c:pt idx="8">
                  <c:v>255.5304321222383</c:v>
                </c:pt>
                <c:pt idx="9">
                  <c:v>257.09078749647102</c:v>
                </c:pt>
                <c:pt idx="10">
                  <c:v>257.70266603702424</c:v>
                </c:pt>
                <c:pt idx="11">
                  <c:v>257.9737127896945</c:v>
                </c:pt>
                <c:pt idx="12">
                  <c:v>257.85574488202536</c:v>
                </c:pt>
                <c:pt idx="13">
                  <c:v>257.68865400948141</c:v>
                </c:pt>
                <c:pt idx="14">
                  <c:v>257.62020149420903</c:v>
                </c:pt>
                <c:pt idx="15">
                  <c:v>257.28668553611237</c:v>
                </c:pt>
                <c:pt idx="16">
                  <c:v>257.3143366057397</c:v>
                </c:pt>
                <c:pt idx="17">
                  <c:v>257.33006646065604</c:v>
                </c:pt>
                <c:pt idx="18">
                  <c:v>257.49762583903947</c:v>
                </c:pt>
                <c:pt idx="19">
                  <c:v>257.21679669242832</c:v>
                </c:pt>
                <c:pt idx="20">
                  <c:v>257.2840051235213</c:v>
                </c:pt>
                <c:pt idx="21">
                  <c:v>257.43990170353118</c:v>
                </c:pt>
                <c:pt idx="22">
                  <c:v>257.62948402940168</c:v>
                </c:pt>
                <c:pt idx="23">
                  <c:v>257.20463845237077</c:v>
                </c:pt>
                <c:pt idx="24">
                  <c:v>256.9188845874275</c:v>
                </c:pt>
                <c:pt idx="25">
                  <c:v>256.89935240209263</c:v>
                </c:pt>
                <c:pt idx="26">
                  <c:v>256.60442680314407</c:v>
                </c:pt>
                <c:pt idx="27">
                  <c:v>256.29506192206702</c:v>
                </c:pt>
                <c:pt idx="28">
                  <c:v>255.77922001441709</c:v>
                </c:pt>
                <c:pt idx="29">
                  <c:v>255.16897911618031</c:v>
                </c:pt>
                <c:pt idx="30">
                  <c:v>254.50044302080525</c:v>
                </c:pt>
                <c:pt idx="31">
                  <c:v>253.65371215857928</c:v>
                </c:pt>
                <c:pt idx="32">
                  <c:v>252.92218318421118</c:v>
                </c:pt>
                <c:pt idx="33">
                  <c:v>252.41356320598842</c:v>
                </c:pt>
                <c:pt idx="34">
                  <c:v>252.22817029971438</c:v>
                </c:pt>
                <c:pt idx="35">
                  <c:v>252.22204649684818</c:v>
                </c:pt>
                <c:pt idx="36">
                  <c:v>252.44706374215357</c:v>
                </c:pt>
                <c:pt idx="37">
                  <c:v>253.01353326353691</c:v>
                </c:pt>
                <c:pt idx="38">
                  <c:v>253.65521174590111</c:v>
                </c:pt>
                <c:pt idx="39">
                  <c:v>254.5211791063102</c:v>
                </c:pt>
                <c:pt idx="40">
                  <c:v>255.52477893388192</c:v>
                </c:pt>
                <c:pt idx="41">
                  <c:v>256.65225521469483</c:v>
                </c:pt>
                <c:pt idx="42">
                  <c:v>257.99885548290086</c:v>
                </c:pt>
                <c:pt idx="43">
                  <c:v>259.34766723757508</c:v>
                </c:pt>
                <c:pt idx="44">
                  <c:v>260.66493448421301</c:v>
                </c:pt>
                <c:pt idx="45">
                  <c:v>261.9472929824787</c:v>
                </c:pt>
                <c:pt idx="46">
                  <c:v>263.17524945709459</c:v>
                </c:pt>
                <c:pt idx="47">
                  <c:v>264.33660124200389</c:v>
                </c:pt>
                <c:pt idx="48">
                  <c:v>265.51574937888137</c:v>
                </c:pt>
                <c:pt idx="49">
                  <c:v>266.70574285954103</c:v>
                </c:pt>
                <c:pt idx="50">
                  <c:v>267.86972330988192</c:v>
                </c:pt>
                <c:pt idx="51">
                  <c:v>269.04651077005298</c:v>
                </c:pt>
                <c:pt idx="52">
                  <c:v>270.14893697041458</c:v>
                </c:pt>
                <c:pt idx="53">
                  <c:v>271.160402741246</c:v>
                </c:pt>
                <c:pt idx="54">
                  <c:v>272.08923767127959</c:v>
                </c:pt>
                <c:pt idx="55">
                  <c:v>272.96414532108338</c:v>
                </c:pt>
                <c:pt idx="56">
                  <c:v>273.77521168615363</c:v>
                </c:pt>
                <c:pt idx="57">
                  <c:v>274.57323809804677</c:v>
                </c:pt>
                <c:pt idx="58">
                  <c:v>275.36675640806027</c:v>
                </c:pt>
                <c:pt idx="59">
                  <c:v>276.09071843713843</c:v>
                </c:pt>
                <c:pt idx="60">
                  <c:v>276.80424467479241</c:v>
                </c:pt>
                <c:pt idx="61">
                  <c:v>277.48872343509566</c:v>
                </c:pt>
                <c:pt idx="62">
                  <c:v>278.11486662986522</c:v>
                </c:pt>
                <c:pt idx="63">
                  <c:v>278.68096335940805</c:v>
                </c:pt>
                <c:pt idx="64">
                  <c:v>279.27492811433456</c:v>
                </c:pt>
                <c:pt idx="65">
                  <c:v>279.81798399456022</c:v>
                </c:pt>
                <c:pt idx="66">
                  <c:v>280.30716848962925</c:v>
                </c:pt>
                <c:pt idx="67">
                  <c:v>280.81350585148044</c:v>
                </c:pt>
                <c:pt idx="68">
                  <c:v>281.30301017692773</c:v>
                </c:pt>
                <c:pt idx="69">
                  <c:v>281.77130145106571</c:v>
                </c:pt>
                <c:pt idx="70">
                  <c:v>282.18476186544814</c:v>
                </c:pt>
                <c:pt idx="71">
                  <c:v>282.49122470001032</c:v>
                </c:pt>
                <c:pt idx="72">
                  <c:v>282.76397118194859</c:v>
                </c:pt>
                <c:pt idx="73">
                  <c:v>282.96375858447021</c:v>
                </c:pt>
                <c:pt idx="74">
                  <c:v>283.14067800070802</c:v>
                </c:pt>
                <c:pt idx="75">
                  <c:v>283.28002884254266</c:v>
                </c:pt>
                <c:pt idx="76">
                  <c:v>283.39978723489088</c:v>
                </c:pt>
                <c:pt idx="77">
                  <c:v>283.47784913709842</c:v>
                </c:pt>
                <c:pt idx="78">
                  <c:v>283.49772411059996</c:v>
                </c:pt>
                <c:pt idx="79">
                  <c:v>283.43522461994746</c:v>
                </c:pt>
                <c:pt idx="80">
                  <c:v>283.29640008211123</c:v>
                </c:pt>
                <c:pt idx="81">
                  <c:v>283.1607543539825</c:v>
                </c:pt>
                <c:pt idx="82">
                  <c:v>283.0254958545998</c:v>
                </c:pt>
                <c:pt idx="83">
                  <c:v>282.8252644087973</c:v>
                </c:pt>
                <c:pt idx="84">
                  <c:v>282.64808020789695</c:v>
                </c:pt>
                <c:pt idx="85">
                  <c:v>282.43768686560747</c:v>
                </c:pt>
                <c:pt idx="86">
                  <c:v>282.19205745449875</c:v>
                </c:pt>
                <c:pt idx="87">
                  <c:v>281.88207944603533</c:v>
                </c:pt>
                <c:pt idx="88">
                  <c:v>281.54199743083802</c:v>
                </c:pt>
                <c:pt idx="89">
                  <c:v>281.20744625792719</c:v>
                </c:pt>
                <c:pt idx="90">
                  <c:v>280.89106577226727</c:v>
                </c:pt>
                <c:pt idx="91">
                  <c:v>280.57157235104376</c:v>
                </c:pt>
                <c:pt idx="92">
                  <c:v>280.22867754331531</c:v>
                </c:pt>
                <c:pt idx="93">
                  <c:v>279.88662073848752</c:v>
                </c:pt>
                <c:pt idx="94">
                  <c:v>279.56085110687906</c:v>
                </c:pt>
                <c:pt idx="95">
                  <c:v>279.22143451743483</c:v>
                </c:pt>
                <c:pt idx="96">
                  <c:v>278.86156725848014</c:v>
                </c:pt>
                <c:pt idx="97">
                  <c:v>278.49631630159843</c:v>
                </c:pt>
                <c:pt idx="98">
                  <c:v>278.12245006901315</c:v>
                </c:pt>
                <c:pt idx="99">
                  <c:v>277.7595212774649</c:v>
                </c:pt>
                <c:pt idx="100">
                  <c:v>277.36597257458675</c:v>
                </c:pt>
                <c:pt idx="101">
                  <c:v>276.96164595452882</c:v>
                </c:pt>
                <c:pt idx="102">
                  <c:v>276.5791463644286</c:v>
                </c:pt>
                <c:pt idx="103">
                  <c:v>276.18297377545179</c:v>
                </c:pt>
                <c:pt idx="104">
                  <c:v>275.78045435882888</c:v>
                </c:pt>
                <c:pt idx="105">
                  <c:v>275.36746359538597</c:v>
                </c:pt>
                <c:pt idx="106">
                  <c:v>274.9522665018643</c:v>
                </c:pt>
                <c:pt idx="107">
                  <c:v>274.5414638827873</c:v>
                </c:pt>
                <c:pt idx="108">
                  <c:v>274.14267747480017</c:v>
                </c:pt>
                <c:pt idx="109">
                  <c:v>273.77123275590765</c:v>
                </c:pt>
                <c:pt idx="110">
                  <c:v>273.39708036078133</c:v>
                </c:pt>
                <c:pt idx="111">
                  <c:v>273.04939033534936</c:v>
                </c:pt>
                <c:pt idx="112">
                  <c:v>272.69651557119556</c:v>
                </c:pt>
                <c:pt idx="113">
                  <c:v>272.30598314699529</c:v>
                </c:pt>
                <c:pt idx="114">
                  <c:v>271.92316275337396</c:v>
                </c:pt>
                <c:pt idx="115">
                  <c:v>271.52334438897162</c:v>
                </c:pt>
                <c:pt idx="116">
                  <c:v>271.132080352255</c:v>
                </c:pt>
                <c:pt idx="117">
                  <c:v>270.71678685059175</c:v>
                </c:pt>
                <c:pt idx="118">
                  <c:v>270.2975590201068</c:v>
                </c:pt>
                <c:pt idx="119">
                  <c:v>269.88390770704586</c:v>
                </c:pt>
                <c:pt idx="120">
                  <c:v>269.45618964632138</c:v>
                </c:pt>
                <c:pt idx="121">
                  <c:v>269.03818308521284</c:v>
                </c:pt>
                <c:pt idx="122">
                  <c:v>268.55622643496611</c:v>
                </c:pt>
                <c:pt idx="123">
                  <c:v>268.08996420434397</c:v>
                </c:pt>
                <c:pt idx="124">
                  <c:v>267.63659998222425</c:v>
                </c:pt>
                <c:pt idx="125">
                  <c:v>267.20382697816291</c:v>
                </c:pt>
                <c:pt idx="126">
                  <c:v>266.80278199557637</c:v>
                </c:pt>
                <c:pt idx="127">
                  <c:v>266.41707415566782</c:v>
                </c:pt>
                <c:pt idx="128">
                  <c:v>266.07422090337548</c:v>
                </c:pt>
                <c:pt idx="129">
                  <c:v>265.75216204619113</c:v>
                </c:pt>
                <c:pt idx="130">
                  <c:v>265.41996800292583</c:v>
                </c:pt>
                <c:pt idx="131">
                  <c:v>265.10025906929576</c:v>
                </c:pt>
                <c:pt idx="132">
                  <c:v>264.76085082892951</c:v>
                </c:pt>
                <c:pt idx="133">
                  <c:v>264.48058801593191</c:v>
                </c:pt>
                <c:pt idx="134">
                  <c:v>264.18664199579109</c:v>
                </c:pt>
                <c:pt idx="135">
                  <c:v>263.9044937242615</c:v>
                </c:pt>
                <c:pt idx="136">
                  <c:v>263.62248509628353</c:v>
                </c:pt>
                <c:pt idx="137">
                  <c:v>263.32718752113544</c:v>
                </c:pt>
                <c:pt idx="138">
                  <c:v>263.02405539260678</c:v>
                </c:pt>
                <c:pt idx="139">
                  <c:v>262.69886209774279</c:v>
                </c:pt>
                <c:pt idx="140">
                  <c:v>262.3964852265841</c:v>
                </c:pt>
                <c:pt idx="141">
                  <c:v>262.12766444377866</c:v>
                </c:pt>
                <c:pt idx="142">
                  <c:v>261.88503731674894</c:v>
                </c:pt>
                <c:pt idx="143">
                  <c:v>261.69952942515522</c:v>
                </c:pt>
                <c:pt idx="144">
                  <c:v>261.49985256919211</c:v>
                </c:pt>
                <c:pt idx="145">
                  <c:v>261.32051877301473</c:v>
                </c:pt>
                <c:pt idx="146">
                  <c:v>261.13604602186041</c:v>
                </c:pt>
                <c:pt idx="147">
                  <c:v>260.98089360708144</c:v>
                </c:pt>
                <c:pt idx="148">
                  <c:v>260.83659856500606</c:v>
                </c:pt>
                <c:pt idx="149">
                  <c:v>260.65309575508434</c:v>
                </c:pt>
                <c:pt idx="150">
                  <c:v>260.45395936387996</c:v>
                </c:pt>
                <c:pt idx="151">
                  <c:v>260.25691373280637</c:v>
                </c:pt>
                <c:pt idx="152">
                  <c:v>260.06205566803379</c:v>
                </c:pt>
                <c:pt idx="153">
                  <c:v>259.87154373643773</c:v>
                </c:pt>
                <c:pt idx="154">
                  <c:v>259.64052547961194</c:v>
                </c:pt>
                <c:pt idx="155">
                  <c:v>259.42062190016509</c:v>
                </c:pt>
                <c:pt idx="156">
                  <c:v>259.22597768559189</c:v>
                </c:pt>
                <c:pt idx="157">
                  <c:v>259.03744715772172</c:v>
                </c:pt>
                <c:pt idx="158">
                  <c:v>258.82985816965169</c:v>
                </c:pt>
                <c:pt idx="159">
                  <c:v>258.57411672182269</c:v>
                </c:pt>
                <c:pt idx="160">
                  <c:v>258.30315092115683</c:v>
                </c:pt>
                <c:pt idx="161">
                  <c:v>258.0691425128465</c:v>
                </c:pt>
                <c:pt idx="162">
                  <c:v>257.83096480643866</c:v>
                </c:pt>
                <c:pt idx="163">
                  <c:v>257.57242055837287</c:v>
                </c:pt>
                <c:pt idx="164">
                  <c:v>257.29205155957635</c:v>
                </c:pt>
                <c:pt idx="165">
                  <c:v>257.02867090856302</c:v>
                </c:pt>
                <c:pt idx="166">
                  <c:v>256.77017945697179</c:v>
                </c:pt>
                <c:pt idx="167">
                  <c:v>256.48633870319088</c:v>
                </c:pt>
                <c:pt idx="168">
                  <c:v>256.18369692475636</c:v>
                </c:pt>
                <c:pt idx="169">
                  <c:v>255.86445051566278</c:v>
                </c:pt>
                <c:pt idx="170">
                  <c:v>255.5488155146833</c:v>
                </c:pt>
                <c:pt idx="171">
                  <c:v>255.26086249863954</c:v>
                </c:pt>
                <c:pt idx="172">
                  <c:v>254.91674538549111</c:v>
                </c:pt>
                <c:pt idx="173">
                  <c:v>254.54921934957164</c:v>
                </c:pt>
                <c:pt idx="174">
                  <c:v>254.18807778973863</c:v>
                </c:pt>
                <c:pt idx="175">
                  <c:v>253.78573832293242</c:v>
                </c:pt>
                <c:pt idx="176">
                  <c:v>253.36898385353703</c:v>
                </c:pt>
                <c:pt idx="177">
                  <c:v>252.92260806098577</c:v>
                </c:pt>
                <c:pt idx="178">
                  <c:v>252.45534834706302</c:v>
                </c:pt>
                <c:pt idx="179">
                  <c:v>251.98829167529456</c:v>
                </c:pt>
                <c:pt idx="180">
                  <c:v>251.53073050059228</c:v>
                </c:pt>
                <c:pt idx="181">
                  <c:v>251.1503136900846</c:v>
                </c:pt>
                <c:pt idx="182">
                  <c:v>250.80241188766323</c:v>
                </c:pt>
                <c:pt idx="183">
                  <c:v>250.48889739933938</c:v>
                </c:pt>
                <c:pt idx="184">
                  <c:v>250.19750440630747</c:v>
                </c:pt>
                <c:pt idx="185">
                  <c:v>249.90673130398477</c:v>
                </c:pt>
                <c:pt idx="186">
                  <c:v>249.63801534067684</c:v>
                </c:pt>
                <c:pt idx="187">
                  <c:v>249.39087667777963</c:v>
                </c:pt>
                <c:pt idx="188">
                  <c:v>249.18005811007407</c:v>
                </c:pt>
                <c:pt idx="189">
                  <c:v>248.98623747050456</c:v>
                </c:pt>
                <c:pt idx="190">
                  <c:v>248.78887996638474</c:v>
                </c:pt>
                <c:pt idx="191">
                  <c:v>248.56956932845642</c:v>
                </c:pt>
                <c:pt idx="192">
                  <c:v>248.30863119769745</c:v>
                </c:pt>
                <c:pt idx="193">
                  <c:v>248.06066053414079</c:v>
                </c:pt>
                <c:pt idx="194">
                  <c:v>247.82571642190595</c:v>
                </c:pt>
                <c:pt idx="195">
                  <c:v>247.54536208402615</c:v>
                </c:pt>
                <c:pt idx="196">
                  <c:v>247.25478592003984</c:v>
                </c:pt>
                <c:pt idx="197">
                  <c:v>247.00943601326165</c:v>
                </c:pt>
                <c:pt idx="198">
                  <c:v>246.76521284688917</c:v>
                </c:pt>
                <c:pt idx="199">
                  <c:v>246.53138395483302</c:v>
                </c:pt>
                <c:pt idx="200">
                  <c:v>246.28904540871281</c:v>
                </c:pt>
                <c:pt idx="201">
                  <c:v>246.07456571506899</c:v>
                </c:pt>
                <c:pt idx="202">
                  <c:v>245.87783952789226</c:v>
                </c:pt>
                <c:pt idx="203">
                  <c:v>245.71375066895476</c:v>
                </c:pt>
                <c:pt idx="204">
                  <c:v>245.51035188115415</c:v>
                </c:pt>
                <c:pt idx="205">
                  <c:v>245.29934400165916</c:v>
                </c:pt>
                <c:pt idx="206">
                  <c:v>245.14822531795846</c:v>
                </c:pt>
                <c:pt idx="207">
                  <c:v>245.00442209766214</c:v>
                </c:pt>
                <c:pt idx="208">
                  <c:v>244.85589739080851</c:v>
                </c:pt>
                <c:pt idx="209">
                  <c:v>244.71991069459364</c:v>
                </c:pt>
                <c:pt idx="210">
                  <c:v>244.58210375085378</c:v>
                </c:pt>
                <c:pt idx="211">
                  <c:v>244.47075555989545</c:v>
                </c:pt>
                <c:pt idx="212">
                  <c:v>244.387564360867</c:v>
                </c:pt>
                <c:pt idx="213">
                  <c:v>244.31074714000147</c:v>
                </c:pt>
                <c:pt idx="214">
                  <c:v>244.23095371103736</c:v>
                </c:pt>
                <c:pt idx="215">
                  <c:v>244.18303504206085</c:v>
                </c:pt>
                <c:pt idx="216">
                  <c:v>244.16684932335227</c:v>
                </c:pt>
                <c:pt idx="217">
                  <c:v>244.15548047211573</c:v>
                </c:pt>
                <c:pt idx="218">
                  <c:v>244.15924038069392</c:v>
                </c:pt>
                <c:pt idx="219">
                  <c:v>244.16120305876393</c:v>
                </c:pt>
                <c:pt idx="220">
                  <c:v>244.15120875310399</c:v>
                </c:pt>
                <c:pt idx="221">
                  <c:v>244.1072813268631</c:v>
                </c:pt>
                <c:pt idx="222">
                  <c:v>244.01981678895257</c:v>
                </c:pt>
                <c:pt idx="223">
                  <c:v>243.88909995044193</c:v>
                </c:pt>
                <c:pt idx="224">
                  <c:v>243.80130649449632</c:v>
                </c:pt>
                <c:pt idx="225">
                  <c:v>243.66587730636704</c:v>
                </c:pt>
                <c:pt idx="226">
                  <c:v>243.50637245070772</c:v>
                </c:pt>
                <c:pt idx="227">
                  <c:v>243.32629069477318</c:v>
                </c:pt>
                <c:pt idx="228">
                  <c:v>243.14277082148624</c:v>
                </c:pt>
                <c:pt idx="229">
                  <c:v>242.93311658977237</c:v>
                </c:pt>
                <c:pt idx="230">
                  <c:v>242.70735868072143</c:v>
                </c:pt>
                <c:pt idx="231">
                  <c:v>242.49563047048656</c:v>
                </c:pt>
                <c:pt idx="232">
                  <c:v>242.325891661241</c:v>
                </c:pt>
                <c:pt idx="233">
                  <c:v>242.1746020453235</c:v>
                </c:pt>
                <c:pt idx="234">
                  <c:v>242.02818095703253</c:v>
                </c:pt>
                <c:pt idx="235">
                  <c:v>241.84549782404335</c:v>
                </c:pt>
                <c:pt idx="236">
                  <c:v>241.69733920887361</c:v>
                </c:pt>
                <c:pt idx="237">
                  <c:v>241.57633339116938</c:v>
                </c:pt>
                <c:pt idx="238">
                  <c:v>241.47971089462479</c:v>
                </c:pt>
                <c:pt idx="239">
                  <c:v>241.35336441517265</c:v>
                </c:pt>
                <c:pt idx="240">
                  <c:v>241.22486485976452</c:v>
                </c:pt>
                <c:pt idx="241">
                  <c:v>241.10962610976893</c:v>
                </c:pt>
                <c:pt idx="242">
                  <c:v>240.9780301813565</c:v>
                </c:pt>
                <c:pt idx="243">
                  <c:v>240.8311883656778</c:v>
                </c:pt>
                <c:pt idx="244">
                  <c:v>240.67512967401933</c:v>
                </c:pt>
                <c:pt idx="245">
                  <c:v>240.47636135777884</c:v>
                </c:pt>
                <c:pt idx="246">
                  <c:v>240.29692647366906</c:v>
                </c:pt>
                <c:pt idx="247">
                  <c:v>240.09289326800206</c:v>
                </c:pt>
                <c:pt idx="248">
                  <c:v>239.87548083817501</c:v>
                </c:pt>
                <c:pt idx="249">
                  <c:v>239.637294537717</c:v>
                </c:pt>
                <c:pt idx="250">
                  <c:v>239.43004178317682</c:v>
                </c:pt>
                <c:pt idx="251">
                  <c:v>239.23434162900469</c:v>
                </c:pt>
                <c:pt idx="252">
                  <c:v>239.00947719649011</c:v>
                </c:pt>
                <c:pt idx="253">
                  <c:v>238.77338079955717</c:v>
                </c:pt>
                <c:pt idx="254">
                  <c:v>238.52202980592972</c:v>
                </c:pt>
                <c:pt idx="255">
                  <c:v>238.27982632583613</c:v>
                </c:pt>
                <c:pt idx="256">
                  <c:v>238.08827931078372</c:v>
                </c:pt>
                <c:pt idx="257">
                  <c:v>237.85327915837721</c:v>
                </c:pt>
                <c:pt idx="258">
                  <c:v>237.6088140967619</c:v>
                </c:pt>
                <c:pt idx="259">
                  <c:v>237.34882505462596</c:v>
                </c:pt>
                <c:pt idx="260">
                  <c:v>237.07683442302346</c:v>
                </c:pt>
                <c:pt idx="261">
                  <c:v>236.76064738233606</c:v>
                </c:pt>
                <c:pt idx="262">
                  <c:v>236.43095644485985</c:v>
                </c:pt>
                <c:pt idx="263">
                  <c:v>236.13765248958666</c:v>
                </c:pt>
                <c:pt idx="264">
                  <c:v>235.87119322549995</c:v>
                </c:pt>
                <c:pt idx="265">
                  <c:v>235.61258653017978</c:v>
                </c:pt>
                <c:pt idx="266">
                  <c:v>235.34448842071592</c:v>
                </c:pt>
                <c:pt idx="267">
                  <c:v>235.07787231232831</c:v>
                </c:pt>
                <c:pt idx="268">
                  <c:v>234.79499466022261</c:v>
                </c:pt>
                <c:pt idx="269">
                  <c:v>234.52119434189206</c:v>
                </c:pt>
                <c:pt idx="270">
                  <c:v>234.27583095298024</c:v>
                </c:pt>
                <c:pt idx="271">
                  <c:v>234.02950990240495</c:v>
                </c:pt>
                <c:pt idx="272">
                  <c:v>233.82498012772768</c:v>
                </c:pt>
                <c:pt idx="273">
                  <c:v>233.68652553501425</c:v>
                </c:pt>
                <c:pt idx="274">
                  <c:v>233.54136044821482</c:v>
                </c:pt>
                <c:pt idx="275">
                  <c:v>233.41310099646557</c:v>
                </c:pt>
                <c:pt idx="276">
                  <c:v>233.31823730790677</c:v>
                </c:pt>
                <c:pt idx="277">
                  <c:v>233.25882351387423</c:v>
                </c:pt>
                <c:pt idx="278">
                  <c:v>233.18729500487444</c:v>
                </c:pt>
                <c:pt idx="279">
                  <c:v>233.15346292568097</c:v>
                </c:pt>
                <c:pt idx="280">
                  <c:v>233.15939309988431</c:v>
                </c:pt>
                <c:pt idx="281">
                  <c:v>233.1529076425727</c:v>
                </c:pt>
                <c:pt idx="282">
                  <c:v>233.17934499168663</c:v>
                </c:pt>
                <c:pt idx="283">
                  <c:v>233.18211545079785</c:v>
                </c:pt>
                <c:pt idx="284">
                  <c:v>233.12365470182527</c:v>
                </c:pt>
                <c:pt idx="285">
                  <c:v>233.05608225911254</c:v>
                </c:pt>
                <c:pt idx="286">
                  <c:v>232.95944453415026</c:v>
                </c:pt>
                <c:pt idx="287">
                  <c:v>232.81784396485511</c:v>
                </c:pt>
                <c:pt idx="288">
                  <c:v>232.63036185896601</c:v>
                </c:pt>
                <c:pt idx="289">
                  <c:v>232.48126046764253</c:v>
                </c:pt>
                <c:pt idx="290">
                  <c:v>232.31373457820911</c:v>
                </c:pt>
                <c:pt idx="291">
                  <c:v>232.14451636734555</c:v>
                </c:pt>
                <c:pt idx="292">
                  <c:v>231.9865767979353</c:v>
                </c:pt>
                <c:pt idx="293">
                  <c:v>231.81712383003816</c:v>
                </c:pt>
                <c:pt idx="294">
                  <c:v>231.6387049811608</c:v>
                </c:pt>
                <c:pt idx="295">
                  <c:v>231.47938823142226</c:v>
                </c:pt>
                <c:pt idx="296">
                  <c:v>231.33794874884518</c:v>
                </c:pt>
                <c:pt idx="297">
                  <c:v>231.18207050648473</c:v>
                </c:pt>
                <c:pt idx="298">
                  <c:v>231.00219787062088</c:v>
                </c:pt>
                <c:pt idx="299">
                  <c:v>230.86386270015237</c:v>
                </c:pt>
                <c:pt idx="300">
                  <c:v>230.71306366312174</c:v>
                </c:pt>
                <c:pt idx="301">
                  <c:v>230.56040848377526</c:v>
                </c:pt>
                <c:pt idx="302">
                  <c:v>230.38582076150993</c:v>
                </c:pt>
                <c:pt idx="303">
                  <c:v>230.18695793528289</c:v>
                </c:pt>
                <c:pt idx="304">
                  <c:v>230.0013682213079</c:v>
                </c:pt>
                <c:pt idx="305">
                  <c:v>229.82518535965531</c:v>
                </c:pt>
                <c:pt idx="306">
                  <c:v>229.66049061975306</c:v>
                </c:pt>
                <c:pt idx="307">
                  <c:v>229.45477732391322</c:v>
                </c:pt>
                <c:pt idx="308">
                  <c:v>229.25724629944622</c:v>
                </c:pt>
                <c:pt idx="309">
                  <c:v>229.09803326007867</c:v>
                </c:pt>
                <c:pt idx="310">
                  <c:v>228.90246941742885</c:v>
                </c:pt>
                <c:pt idx="311">
                  <c:v>228.73021056427851</c:v>
                </c:pt>
                <c:pt idx="312">
                  <c:v>228.55697817963065</c:v>
                </c:pt>
                <c:pt idx="313">
                  <c:v>228.3716133087359</c:v>
                </c:pt>
                <c:pt idx="314">
                  <c:v>228.21402945040256</c:v>
                </c:pt>
                <c:pt idx="315">
                  <c:v>228.05055537300942</c:v>
                </c:pt>
                <c:pt idx="316">
                  <c:v>227.88545237842487</c:v>
                </c:pt>
                <c:pt idx="317">
                  <c:v>227.70915069063068</c:v>
                </c:pt>
                <c:pt idx="318">
                  <c:v>227.59613180740595</c:v>
                </c:pt>
                <c:pt idx="319">
                  <c:v>227.48330740258496</c:v>
                </c:pt>
                <c:pt idx="320">
                  <c:v>227.39277398421629</c:v>
                </c:pt>
                <c:pt idx="321">
                  <c:v>227.32004541729032</c:v>
                </c:pt>
                <c:pt idx="322">
                  <c:v>227.25260718219533</c:v>
                </c:pt>
                <c:pt idx="323">
                  <c:v>227.19988112612637</c:v>
                </c:pt>
                <c:pt idx="324">
                  <c:v>227.16414269049238</c:v>
                </c:pt>
                <c:pt idx="325">
                  <c:v>227.09985435142846</c:v>
                </c:pt>
                <c:pt idx="326">
                  <c:v>227.00285105139173</c:v>
                </c:pt>
                <c:pt idx="327">
                  <c:v>226.89658759646167</c:v>
                </c:pt>
                <c:pt idx="328">
                  <c:v>226.76233777885787</c:v>
                </c:pt>
                <c:pt idx="329">
                  <c:v>226.60031531686298</c:v>
                </c:pt>
                <c:pt idx="330">
                  <c:v>226.45316459165289</c:v>
                </c:pt>
                <c:pt idx="331">
                  <c:v>226.30352167405482</c:v>
                </c:pt>
                <c:pt idx="332">
                  <c:v>226.19608240540913</c:v>
                </c:pt>
                <c:pt idx="333">
                  <c:v>226.06399574799227</c:v>
                </c:pt>
                <c:pt idx="334">
                  <c:v>225.89296379834568</c:v>
                </c:pt>
                <c:pt idx="335">
                  <c:v>225.68095172694944</c:v>
                </c:pt>
                <c:pt idx="336">
                  <c:v>225.47017069791528</c:v>
                </c:pt>
                <c:pt idx="337">
                  <c:v>225.24119831178368</c:v>
                </c:pt>
                <c:pt idx="338">
                  <c:v>224.98631004835408</c:v>
                </c:pt>
                <c:pt idx="339">
                  <c:v>224.76658745311468</c:v>
                </c:pt>
                <c:pt idx="340">
                  <c:v>224.52008536365634</c:v>
                </c:pt>
                <c:pt idx="341">
                  <c:v>224.26089597716503</c:v>
                </c:pt>
                <c:pt idx="342">
                  <c:v>223.97612402195659</c:v>
                </c:pt>
                <c:pt idx="343">
                  <c:v>223.66935994420245</c:v>
                </c:pt>
                <c:pt idx="344">
                  <c:v>223.34293557187701</c:v>
                </c:pt>
                <c:pt idx="345">
                  <c:v>223.03904352569904</c:v>
                </c:pt>
                <c:pt idx="346">
                  <c:v>222.74609017624229</c:v>
                </c:pt>
                <c:pt idx="347">
                  <c:v>222.45166409260472</c:v>
                </c:pt>
                <c:pt idx="348">
                  <c:v>222.16242512557776</c:v>
                </c:pt>
                <c:pt idx="349">
                  <c:v>221.92825927733995</c:v>
                </c:pt>
                <c:pt idx="350">
                  <c:v>221.72092685500391</c:v>
                </c:pt>
                <c:pt idx="351">
                  <c:v>221.51790811397532</c:v>
                </c:pt>
                <c:pt idx="352">
                  <c:v>221.33684517215593</c:v>
                </c:pt>
                <c:pt idx="353">
                  <c:v>221.19344486644067</c:v>
                </c:pt>
                <c:pt idx="354">
                  <c:v>221.04242812105861</c:v>
                </c:pt>
                <c:pt idx="355">
                  <c:v>220.92233312989907</c:v>
                </c:pt>
                <c:pt idx="356">
                  <c:v>220.83595992634326</c:v>
                </c:pt>
                <c:pt idx="357">
                  <c:v>220.77601589052256</c:v>
                </c:pt>
                <c:pt idx="358">
                  <c:v>220.75755225199148</c:v>
                </c:pt>
                <c:pt idx="359">
                  <c:v>220.73336763217426</c:v>
                </c:pt>
                <c:pt idx="360">
                  <c:v>220.71793922447668</c:v>
                </c:pt>
                <c:pt idx="361">
                  <c:v>220.67151906626472</c:v>
                </c:pt>
                <c:pt idx="362">
                  <c:v>220.63045747062608</c:v>
                </c:pt>
                <c:pt idx="363">
                  <c:v>220.60382198065494</c:v>
                </c:pt>
                <c:pt idx="364">
                  <c:v>220.56300322515682</c:v>
                </c:pt>
                <c:pt idx="365">
                  <c:v>220.49594030580053</c:v>
                </c:pt>
                <c:pt idx="366">
                  <c:v>220.4114681261606</c:v>
                </c:pt>
                <c:pt idx="367">
                  <c:v>220.30616730304453</c:v>
                </c:pt>
                <c:pt idx="368">
                  <c:v>220.20887977646606</c:v>
                </c:pt>
                <c:pt idx="369">
                  <c:v>220.09002199562991</c:v>
                </c:pt>
                <c:pt idx="370">
                  <c:v>219.99895116510083</c:v>
                </c:pt>
                <c:pt idx="371">
                  <c:v>219.90146958441599</c:v>
                </c:pt>
                <c:pt idx="372">
                  <c:v>219.83677759351013</c:v>
                </c:pt>
                <c:pt idx="373">
                  <c:v>219.77370647590823</c:v>
                </c:pt>
                <c:pt idx="374">
                  <c:v>219.68936626829702</c:v>
                </c:pt>
                <c:pt idx="375">
                  <c:v>219.6287020625048</c:v>
                </c:pt>
                <c:pt idx="376">
                  <c:v>219.59226491712153</c:v>
                </c:pt>
                <c:pt idx="377">
                  <c:v>219.53754857928618</c:v>
                </c:pt>
                <c:pt idx="378">
                  <c:v>219.47555354198602</c:v>
                </c:pt>
                <c:pt idx="379">
                  <c:v>219.40153431984743</c:v>
                </c:pt>
                <c:pt idx="380">
                  <c:v>219.35001793900182</c:v>
                </c:pt>
                <c:pt idx="381">
                  <c:v>219.3069960838607</c:v>
                </c:pt>
                <c:pt idx="382">
                  <c:v>219.26660758821424</c:v>
                </c:pt>
                <c:pt idx="383">
                  <c:v>219.20044596877523</c:v>
                </c:pt>
                <c:pt idx="384">
                  <c:v>219.14948636583074</c:v>
                </c:pt>
                <c:pt idx="385">
                  <c:v>219.09359853615163</c:v>
                </c:pt>
                <c:pt idx="386">
                  <c:v>219.02615718406926</c:v>
                </c:pt>
                <c:pt idx="387">
                  <c:v>218.98600326598651</c:v>
                </c:pt>
                <c:pt idx="388">
                  <c:v>218.96226416043723</c:v>
                </c:pt>
                <c:pt idx="389">
                  <c:v>218.94129652306063</c:v>
                </c:pt>
                <c:pt idx="390">
                  <c:v>218.93335306901275</c:v>
                </c:pt>
                <c:pt idx="391">
                  <c:v>218.8960674869916</c:v>
                </c:pt>
                <c:pt idx="392">
                  <c:v>218.83004678728963</c:v>
                </c:pt>
                <c:pt idx="393">
                  <c:v>218.75631704341123</c:v>
                </c:pt>
                <c:pt idx="394">
                  <c:v>218.66252348558189</c:v>
                </c:pt>
                <c:pt idx="395">
                  <c:v>218.52936659562786</c:v>
                </c:pt>
                <c:pt idx="396">
                  <c:v>218.39886553111785</c:v>
                </c:pt>
                <c:pt idx="397">
                  <c:v>218.24349364661552</c:v>
                </c:pt>
                <c:pt idx="398">
                  <c:v>218.04127612281147</c:v>
                </c:pt>
                <c:pt idx="399">
                  <c:v>217.82618133258777</c:v>
                </c:pt>
                <c:pt idx="400">
                  <c:v>217.63624195357789</c:v>
                </c:pt>
                <c:pt idx="401">
                  <c:v>217.42234048403463</c:v>
                </c:pt>
                <c:pt idx="402">
                  <c:v>217.21330191081464</c:v>
                </c:pt>
                <c:pt idx="403">
                  <c:v>217.03691085878333</c:v>
                </c:pt>
                <c:pt idx="404">
                  <c:v>216.87078133192503</c:v>
                </c:pt>
                <c:pt idx="405">
                  <c:v>216.73844000524397</c:v>
                </c:pt>
                <c:pt idx="406">
                  <c:v>216.62280822821606</c:v>
                </c:pt>
                <c:pt idx="407">
                  <c:v>216.49347045505922</c:v>
                </c:pt>
                <c:pt idx="408">
                  <c:v>216.40481943501467</c:v>
                </c:pt>
                <c:pt idx="409">
                  <c:v>216.29775993653732</c:v>
                </c:pt>
                <c:pt idx="410">
                  <c:v>216.22063011847644</c:v>
                </c:pt>
                <c:pt idx="411">
                  <c:v>216.10350801868358</c:v>
                </c:pt>
                <c:pt idx="412">
                  <c:v>216.0283597504953</c:v>
                </c:pt>
                <c:pt idx="413">
                  <c:v>215.96319634094851</c:v>
                </c:pt>
                <c:pt idx="414">
                  <c:v>215.93962639454668</c:v>
                </c:pt>
                <c:pt idx="415">
                  <c:v>215.91176250701392</c:v>
                </c:pt>
                <c:pt idx="416">
                  <c:v>215.87235120507009</c:v>
                </c:pt>
                <c:pt idx="417">
                  <c:v>215.83949878633015</c:v>
                </c:pt>
                <c:pt idx="418">
                  <c:v>215.82632652446475</c:v>
                </c:pt>
                <c:pt idx="419">
                  <c:v>215.78358651196126</c:v>
                </c:pt>
                <c:pt idx="420">
                  <c:v>215.77585916291255</c:v>
                </c:pt>
                <c:pt idx="421">
                  <c:v>215.76898180490571</c:v>
                </c:pt>
                <c:pt idx="422">
                  <c:v>215.78708190423882</c:v>
                </c:pt>
                <c:pt idx="423">
                  <c:v>215.76704918853008</c:v>
                </c:pt>
                <c:pt idx="424">
                  <c:v>215.75803545970422</c:v>
                </c:pt>
                <c:pt idx="425">
                  <c:v>215.69995562540026</c:v>
                </c:pt>
                <c:pt idx="426">
                  <c:v>215.66322584371568</c:v>
                </c:pt>
                <c:pt idx="427">
                  <c:v>215.6013953353881</c:v>
                </c:pt>
                <c:pt idx="428">
                  <c:v>215.53858656407493</c:v>
                </c:pt>
                <c:pt idx="429">
                  <c:v>215.464190898792</c:v>
                </c:pt>
                <c:pt idx="430">
                  <c:v>215.36920357379341</c:v>
                </c:pt>
                <c:pt idx="431">
                  <c:v>215.24653184572617</c:v>
                </c:pt>
                <c:pt idx="432">
                  <c:v>215.13081164888803</c:v>
                </c:pt>
                <c:pt idx="433">
                  <c:v>215.03169492950872</c:v>
                </c:pt>
                <c:pt idx="434">
                  <c:v>214.95328391435754</c:v>
                </c:pt>
                <c:pt idx="435">
                  <c:v>214.83754962346731</c:v>
                </c:pt>
                <c:pt idx="436">
                  <c:v>214.71436931325798</c:v>
                </c:pt>
                <c:pt idx="437">
                  <c:v>214.58084808042273</c:v>
                </c:pt>
                <c:pt idx="438">
                  <c:v>214.44249481429895</c:v>
                </c:pt>
                <c:pt idx="439">
                  <c:v>214.33661320359849</c:v>
                </c:pt>
                <c:pt idx="440">
                  <c:v>214.23268260375698</c:v>
                </c:pt>
                <c:pt idx="441">
                  <c:v>214.11443699984039</c:v>
                </c:pt>
                <c:pt idx="442">
                  <c:v>214.01627703848592</c:v>
                </c:pt>
                <c:pt idx="443">
                  <c:v>213.90608137763488</c:v>
                </c:pt>
                <c:pt idx="444">
                  <c:v>213.77089654194714</c:v>
                </c:pt>
                <c:pt idx="445">
                  <c:v>213.60268721403986</c:v>
                </c:pt>
                <c:pt idx="446">
                  <c:v>213.41219146389159</c:v>
                </c:pt>
                <c:pt idx="447">
                  <c:v>213.20629065624445</c:v>
                </c:pt>
                <c:pt idx="448">
                  <c:v>212.93227638404846</c:v>
                </c:pt>
                <c:pt idx="449">
                  <c:v>212.69485228345636</c:v>
                </c:pt>
                <c:pt idx="450">
                  <c:v>212.45422890010008</c:v>
                </c:pt>
                <c:pt idx="451">
                  <c:v>212.25539434868722</c:v>
                </c:pt>
                <c:pt idx="452">
                  <c:v>212.11089498165825</c:v>
                </c:pt>
                <c:pt idx="453">
                  <c:v>212.00029143837833</c:v>
                </c:pt>
                <c:pt idx="454">
                  <c:v>211.8750903205806</c:v>
                </c:pt>
                <c:pt idx="455">
                  <c:v>211.78199219966274</c:v>
                </c:pt>
                <c:pt idx="456">
                  <c:v>211.75263600326758</c:v>
                </c:pt>
                <c:pt idx="457">
                  <c:v>211.74009476642357</c:v>
                </c:pt>
                <c:pt idx="458">
                  <c:v>211.74598167239961</c:v>
                </c:pt>
                <c:pt idx="459">
                  <c:v>211.83778929194725</c:v>
                </c:pt>
                <c:pt idx="460">
                  <c:v>211.9088353349114</c:v>
                </c:pt>
                <c:pt idx="461">
                  <c:v>211.96292108348172</c:v>
                </c:pt>
                <c:pt idx="462">
                  <c:v>211.98246228038659</c:v>
                </c:pt>
                <c:pt idx="463">
                  <c:v>211.98032847315315</c:v>
                </c:pt>
                <c:pt idx="464">
                  <c:v>211.95390868313925</c:v>
                </c:pt>
                <c:pt idx="465">
                  <c:v>211.95463075920944</c:v>
                </c:pt>
                <c:pt idx="466">
                  <c:v>211.9763429101412</c:v>
                </c:pt>
                <c:pt idx="467">
                  <c:v>212.0750391363508</c:v>
                </c:pt>
                <c:pt idx="468">
                  <c:v>212.20987795514787</c:v>
                </c:pt>
                <c:pt idx="469">
                  <c:v>212.35490490422697</c:v>
                </c:pt>
                <c:pt idx="470">
                  <c:v>212.48551007714556</c:v>
                </c:pt>
                <c:pt idx="471">
                  <c:v>212.59081094487365</c:v>
                </c:pt>
                <c:pt idx="472">
                  <c:v>212.73014833367642</c:v>
                </c:pt>
                <c:pt idx="473">
                  <c:v>212.8696677114568</c:v>
                </c:pt>
                <c:pt idx="474">
                  <c:v>212.9625333786272</c:v>
                </c:pt>
                <c:pt idx="475">
                  <c:v>213.09119046222679</c:v>
                </c:pt>
                <c:pt idx="476">
                  <c:v>213.20706782015549</c:v>
                </c:pt>
                <c:pt idx="477">
                  <c:v>213.26432696431868</c:v>
                </c:pt>
                <c:pt idx="478">
                  <c:v>213.22502365414923</c:v>
                </c:pt>
                <c:pt idx="479">
                  <c:v>213.23598190060767</c:v>
                </c:pt>
                <c:pt idx="480">
                  <c:v>213.28065728657023</c:v>
                </c:pt>
                <c:pt idx="481">
                  <c:v>213.31409566215896</c:v>
                </c:pt>
                <c:pt idx="482">
                  <c:v>213.38601172143558</c:v>
                </c:pt>
                <c:pt idx="483">
                  <c:v>213.41668275932935</c:v>
                </c:pt>
                <c:pt idx="484">
                  <c:v>213.43723981616324</c:v>
                </c:pt>
                <c:pt idx="485">
                  <c:v>213.53945435340751</c:v>
                </c:pt>
                <c:pt idx="486">
                  <c:v>213.65056780077433</c:v>
                </c:pt>
                <c:pt idx="487">
                  <c:v>213.78800201023137</c:v>
                </c:pt>
                <c:pt idx="488">
                  <c:v>213.94724031784054</c:v>
                </c:pt>
                <c:pt idx="489">
                  <c:v>214.10408029980113</c:v>
                </c:pt>
                <c:pt idx="490">
                  <c:v>214.2223664907944</c:v>
                </c:pt>
                <c:pt idx="491">
                  <c:v>214.35777208686702</c:v>
                </c:pt>
                <c:pt idx="492">
                  <c:v>214.49873048923618</c:v>
                </c:pt>
                <c:pt idx="493">
                  <c:v>214.67468972019063</c:v>
                </c:pt>
                <c:pt idx="494">
                  <c:v>214.91989582010424</c:v>
                </c:pt>
                <c:pt idx="495">
                  <c:v>215.19552884650182</c:v>
                </c:pt>
                <c:pt idx="496">
                  <c:v>215.45769214938503</c:v>
                </c:pt>
                <c:pt idx="497">
                  <c:v>215.67314263210855</c:v>
                </c:pt>
                <c:pt idx="498">
                  <c:v>215.87257779666319</c:v>
                </c:pt>
                <c:pt idx="499">
                  <c:v>216.03977871566164</c:v>
                </c:pt>
                <c:pt idx="500">
                  <c:v>216.22116759129719</c:v>
                </c:pt>
                <c:pt idx="501">
                  <c:v>216.42558217710368</c:v>
                </c:pt>
                <c:pt idx="502">
                  <c:v>216.54469193887411</c:v>
                </c:pt>
                <c:pt idx="503">
                  <c:v>216.65838978384551</c:v>
                </c:pt>
                <c:pt idx="504">
                  <c:v>216.72321181917891</c:v>
                </c:pt>
                <c:pt idx="505">
                  <c:v>216.71793823937639</c:v>
                </c:pt>
                <c:pt idx="506">
                  <c:v>216.74045965115658</c:v>
                </c:pt>
                <c:pt idx="507">
                  <c:v>216.73518700821276</c:v>
                </c:pt>
                <c:pt idx="508">
                  <c:v>216.74719984233477</c:v>
                </c:pt>
                <c:pt idx="509">
                  <c:v>216.76779747460861</c:v>
                </c:pt>
                <c:pt idx="510">
                  <c:v>216.81111683238998</c:v>
                </c:pt>
                <c:pt idx="511">
                  <c:v>216.82830455673866</c:v>
                </c:pt>
                <c:pt idx="512">
                  <c:v>216.79056426011721</c:v>
                </c:pt>
                <c:pt idx="513">
                  <c:v>216.83550871632383</c:v>
                </c:pt>
                <c:pt idx="514">
                  <c:v>216.91724188577714</c:v>
                </c:pt>
                <c:pt idx="515">
                  <c:v>216.97708388870123</c:v>
                </c:pt>
                <c:pt idx="516">
                  <c:v>217.08994114968806</c:v>
                </c:pt>
                <c:pt idx="517">
                  <c:v>217.14384786623214</c:v>
                </c:pt>
                <c:pt idx="518">
                  <c:v>217.21106122129311</c:v>
                </c:pt>
                <c:pt idx="519">
                  <c:v>217.28463853053887</c:v>
                </c:pt>
                <c:pt idx="520">
                  <c:v>217.37188001132287</c:v>
                </c:pt>
                <c:pt idx="521">
                  <c:v>217.48756276737188</c:v>
                </c:pt>
                <c:pt idx="522">
                  <c:v>217.58897246102228</c:v>
                </c:pt>
                <c:pt idx="523">
                  <c:v>217.70835716570127</c:v>
                </c:pt>
                <c:pt idx="524">
                  <c:v>217.77537673369906</c:v>
                </c:pt>
                <c:pt idx="525">
                  <c:v>217.79639552122305</c:v>
                </c:pt>
                <c:pt idx="526">
                  <c:v>217.90729221860101</c:v>
                </c:pt>
                <c:pt idx="527">
                  <c:v>218.00040521666725</c:v>
                </c:pt>
                <c:pt idx="528">
                  <c:v>218.09059497141709</c:v>
                </c:pt>
                <c:pt idx="529">
                  <c:v>218.21678378199385</c:v>
                </c:pt>
                <c:pt idx="530">
                  <c:v>218.30202903133394</c:v>
                </c:pt>
                <c:pt idx="531">
                  <c:v>218.34910907967415</c:v>
                </c:pt>
                <c:pt idx="532">
                  <c:v>218.41862197273079</c:v>
                </c:pt>
                <c:pt idx="533">
                  <c:v>218.52385084587934</c:v>
                </c:pt>
                <c:pt idx="534">
                  <c:v>218.58694892346554</c:v>
                </c:pt>
                <c:pt idx="535">
                  <c:v>218.63291786800087</c:v>
                </c:pt>
                <c:pt idx="536">
                  <c:v>218.68523103530387</c:v>
                </c:pt>
                <c:pt idx="537">
                  <c:v>218.70612664647129</c:v>
                </c:pt>
                <c:pt idx="538">
                  <c:v>218.70035737422134</c:v>
                </c:pt>
                <c:pt idx="539">
                  <c:v>218.68903389459587</c:v>
                </c:pt>
                <c:pt idx="540">
                  <c:v>218.71008890097019</c:v>
                </c:pt>
                <c:pt idx="541">
                  <c:v>218.73916811618128</c:v>
                </c:pt>
                <c:pt idx="542">
                  <c:v>218.81418968875244</c:v>
                </c:pt>
                <c:pt idx="543">
                  <c:v>218.89404238220416</c:v>
                </c:pt>
                <c:pt idx="544">
                  <c:v>218.9742988294762</c:v>
                </c:pt>
                <c:pt idx="545">
                  <c:v>219.14024052050391</c:v>
                </c:pt>
                <c:pt idx="546">
                  <c:v>219.32174968310025</c:v>
                </c:pt>
                <c:pt idx="547">
                  <c:v>219.46302542269311</c:v>
                </c:pt>
                <c:pt idx="548">
                  <c:v>219.61043732566154</c:v>
                </c:pt>
                <c:pt idx="549">
                  <c:v>219.79047915162204</c:v>
                </c:pt>
                <c:pt idx="550">
                  <c:v>220.01331721286877</c:v>
                </c:pt>
                <c:pt idx="551">
                  <c:v>220.19627370588671</c:v>
                </c:pt>
                <c:pt idx="552">
                  <c:v>220.393280754513</c:v>
                </c:pt>
                <c:pt idx="553">
                  <c:v>220.50963336928993</c:v>
                </c:pt>
                <c:pt idx="554">
                  <c:v>220.61087448515892</c:v>
                </c:pt>
                <c:pt idx="555">
                  <c:v>220.62106964815865</c:v>
                </c:pt>
                <c:pt idx="556">
                  <c:v>220.60200433349746</c:v>
                </c:pt>
                <c:pt idx="557">
                  <c:v>220.618962298284</c:v>
                </c:pt>
                <c:pt idx="558">
                  <c:v>220.6705593773452</c:v>
                </c:pt>
                <c:pt idx="559">
                  <c:v>220.66976890878649</c:v>
                </c:pt>
                <c:pt idx="560">
                  <c:v>220.62582643352565</c:v>
                </c:pt>
                <c:pt idx="561">
                  <c:v>220.61905534385838</c:v>
                </c:pt>
                <c:pt idx="562">
                  <c:v>220.63698643331099</c:v>
                </c:pt>
                <c:pt idx="563">
                  <c:v>220.6863025694922</c:v>
                </c:pt>
                <c:pt idx="564">
                  <c:v>220.75841067450185</c:v>
                </c:pt>
                <c:pt idx="565">
                  <c:v>220.80698178549224</c:v>
                </c:pt>
                <c:pt idx="566">
                  <c:v>220.92922747676965</c:v>
                </c:pt>
                <c:pt idx="567">
                  <c:v>221.02081470749494</c:v>
                </c:pt>
                <c:pt idx="568">
                  <c:v>221.05031224086403</c:v>
                </c:pt>
                <c:pt idx="569">
                  <c:v>221.09451733078856</c:v>
                </c:pt>
                <c:pt idx="570">
                  <c:v>221.15608983793632</c:v>
                </c:pt>
                <c:pt idx="571">
                  <c:v>221.19157132842906</c:v>
                </c:pt>
                <c:pt idx="572">
                  <c:v>221.21608028963172</c:v>
                </c:pt>
                <c:pt idx="573">
                  <c:v>221.16775183417644</c:v>
                </c:pt>
                <c:pt idx="574">
                  <c:v>221.06088013544988</c:v>
                </c:pt>
                <c:pt idx="575">
                  <c:v>220.91381361522892</c:v>
                </c:pt>
                <c:pt idx="576">
                  <c:v>220.70571815050141</c:v>
                </c:pt>
                <c:pt idx="577">
                  <c:v>220.50955200873847</c:v>
                </c:pt>
                <c:pt idx="578">
                  <c:v>220.29284099811667</c:v>
                </c:pt>
                <c:pt idx="579">
                  <c:v>220.11497246139419</c:v>
                </c:pt>
                <c:pt idx="580">
                  <c:v>219.92985978392932</c:v>
                </c:pt>
                <c:pt idx="581">
                  <c:v>219.7520832903248</c:v>
                </c:pt>
                <c:pt idx="582">
                  <c:v>219.60966829815047</c:v>
                </c:pt>
                <c:pt idx="583">
                  <c:v>219.41234415809879</c:v>
                </c:pt>
                <c:pt idx="584">
                  <c:v>219.22166609644799</c:v>
                </c:pt>
                <c:pt idx="585">
                  <c:v>219.05006047549946</c:v>
                </c:pt>
                <c:pt idx="586">
                  <c:v>218.94697854715821</c:v>
                </c:pt>
                <c:pt idx="587">
                  <c:v>218.904199589771</c:v>
                </c:pt>
                <c:pt idx="588">
                  <c:v>218.92546623494977</c:v>
                </c:pt>
                <c:pt idx="589">
                  <c:v>218.94731805419397</c:v>
                </c:pt>
                <c:pt idx="590">
                  <c:v>218.9461493824916</c:v>
                </c:pt>
                <c:pt idx="591">
                  <c:v>218.93451442872336</c:v>
                </c:pt>
                <c:pt idx="592">
                  <c:v>218.88022870513626</c:v>
                </c:pt>
                <c:pt idx="593">
                  <c:v>218.79459921786329</c:v>
                </c:pt>
                <c:pt idx="594">
                  <c:v>218.77321402125366</c:v>
                </c:pt>
                <c:pt idx="595">
                  <c:v>218.75991397146143</c:v>
                </c:pt>
                <c:pt idx="596">
                  <c:v>218.7710671974219</c:v>
                </c:pt>
                <c:pt idx="597">
                  <c:v>218.70261010215259</c:v>
                </c:pt>
                <c:pt idx="598">
                  <c:v>218.69522803250786</c:v>
                </c:pt>
                <c:pt idx="599">
                  <c:v>218.62406472158924</c:v>
                </c:pt>
                <c:pt idx="600">
                  <c:v>218.66111898704654</c:v>
                </c:pt>
                <c:pt idx="601">
                  <c:v>218.71015730127132</c:v>
                </c:pt>
                <c:pt idx="602">
                  <c:v>218.78488879787034</c:v>
                </c:pt>
                <c:pt idx="603">
                  <c:v>218.85504623502578</c:v>
                </c:pt>
                <c:pt idx="604">
                  <c:v>219.03322939435984</c:v>
                </c:pt>
                <c:pt idx="605">
                  <c:v>219.17468189503907</c:v>
                </c:pt>
                <c:pt idx="606">
                  <c:v>219.32472300528195</c:v>
                </c:pt>
                <c:pt idx="607">
                  <c:v>219.41451084186335</c:v>
                </c:pt>
                <c:pt idx="608">
                  <c:v>219.60146763631059</c:v>
                </c:pt>
                <c:pt idx="609">
                  <c:v>219.75646667850296</c:v>
                </c:pt>
                <c:pt idx="610">
                  <c:v>219.90367333928043</c:v>
                </c:pt>
                <c:pt idx="611">
                  <c:v>219.95388334858598</c:v>
                </c:pt>
                <c:pt idx="612">
                  <c:v>220.03123906679554</c:v>
                </c:pt>
                <c:pt idx="613">
                  <c:v>220.08056168124779</c:v>
                </c:pt>
                <c:pt idx="614">
                  <c:v>220.23526387775698</c:v>
                </c:pt>
                <c:pt idx="615">
                  <c:v>220.38945718567984</c:v>
                </c:pt>
                <c:pt idx="616">
                  <c:v>220.49004038780859</c:v>
                </c:pt>
                <c:pt idx="617">
                  <c:v>220.59121940065197</c:v>
                </c:pt>
                <c:pt idx="618">
                  <c:v>220.79755020579452</c:v>
                </c:pt>
                <c:pt idx="619">
                  <c:v>220.9589261615962</c:v>
                </c:pt>
                <c:pt idx="620">
                  <c:v>221.08780147856768</c:v>
                </c:pt>
                <c:pt idx="621">
                  <c:v>221.21236681251162</c:v>
                </c:pt>
                <c:pt idx="622">
                  <c:v>221.32600414852624</c:v>
                </c:pt>
                <c:pt idx="623">
                  <c:v>221.40828133046702</c:v>
                </c:pt>
                <c:pt idx="624">
                  <c:v>221.54670911674188</c:v>
                </c:pt>
                <c:pt idx="625">
                  <c:v>221.60614661085398</c:v>
                </c:pt>
                <c:pt idx="626">
                  <c:v>221.57832852689882</c:v>
                </c:pt>
                <c:pt idx="627">
                  <c:v>221.56466684940517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01856"/>
        <c:axId val="57004032"/>
      </c:scatterChart>
      <c:valAx>
        <c:axId val="57001856"/>
        <c:scaling>
          <c:orientation val="minMax"/>
          <c:max val="285"/>
          <c:min val="205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</a:t>
                </a:r>
                <a:r>
                  <a:rPr lang="en-US" baseline="0"/>
                  <a:t> (K)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004032"/>
        <c:crosses val="autoZero"/>
        <c:crossBetween val="midCat"/>
        <c:majorUnit val="10"/>
        <c:minorUnit val="5"/>
      </c:valAx>
      <c:valAx>
        <c:axId val="5700403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Altitude</a:t>
                </a:r>
                <a:r>
                  <a:rPr lang="en-US" baseline="0"/>
                  <a:t>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0774305555555576E-3"/>
              <c:y val="0.3122785714285714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00185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491840277777779"/>
          <c:y val="3.3842063492063493E-2"/>
          <c:w val="0.54334548611111111"/>
          <c:h val="0.22172063492063493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800" baseline="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n-US" sz="900">
                <a:solidFill>
                  <a:schemeClr val="tx1"/>
                </a:solidFill>
              </a:rPr>
              <a:t>Eq. (A21)</a:t>
            </a:r>
          </a:p>
        </c:rich>
      </c:tx>
      <c:layout>
        <c:manualLayout>
          <c:xMode val="edge"/>
          <c:yMode val="edge"/>
          <c:x val="0.32131150793650792"/>
          <c:y val="0.70051587301587304"/>
        </c:manualLayout>
      </c:layout>
      <c:overlay val="1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000039062576296E-2"/>
          <c:w val="0.70755042909064103"/>
          <c:h val="0.84560476190476186"/>
        </c:manualLayout>
      </c:layout>
      <c:scatterChart>
        <c:scatterStyle val="lineMarker"/>
        <c:varyColors val="0"/>
        <c:ser>
          <c:idx val="0"/>
          <c:order val="0"/>
          <c:tx>
            <c:v>Eq. (A21)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Лист1!$F$3:$F$630</c:f>
              <c:numCache>
                <c:formatCode>General</c:formatCode>
                <c:ptCount val="628"/>
                <c:pt idx="0">
                  <c:v>1.8290821987382331</c:v>
                </c:pt>
                <c:pt idx="1">
                  <c:v>1.3298080843411282</c:v>
                </c:pt>
                <c:pt idx="2">
                  <c:v>1.1147027554481002</c:v>
                </c:pt>
                <c:pt idx="3">
                  <c:v>1.0088708275363576</c:v>
                </c:pt>
                <c:pt idx="4">
                  <c:v>0.94709616037116096</c:v>
                </c:pt>
                <c:pt idx="5">
                  <c:v>0.94437516752669304</c:v>
                </c:pt>
                <c:pt idx="6">
                  <c:v>0.94469495973205908</c:v>
                </c:pt>
                <c:pt idx="7">
                  <c:v>0.99437598695492102</c:v>
                </c:pt>
                <c:pt idx="8">
                  <c:v>0.81415793535093472</c:v>
                </c:pt>
                <c:pt idx="9">
                  <c:v>0.82500841695834548</c:v>
                </c:pt>
                <c:pt idx="10">
                  <c:v>0.85608769560966824</c:v>
                </c:pt>
                <c:pt idx="11">
                  <c:v>0.86599792312987167</c:v>
                </c:pt>
                <c:pt idx="12">
                  <c:v>0.8842973600345061</c:v>
                </c:pt>
                <c:pt idx="13">
                  <c:v>0.87180788073676496</c:v>
                </c:pt>
                <c:pt idx="14">
                  <c:v>0.89103957171716885</c:v>
                </c:pt>
                <c:pt idx="15">
                  <c:v>0.89733333938664916</c:v>
                </c:pt>
                <c:pt idx="16">
                  <c:v>0.90706601055011349</c:v>
                </c:pt>
                <c:pt idx="17">
                  <c:v>0.88901900707423653</c:v>
                </c:pt>
                <c:pt idx="18">
                  <c:v>0.76752092573382091</c:v>
                </c:pt>
                <c:pt idx="19">
                  <c:v>0.7834117946023883</c:v>
                </c:pt>
                <c:pt idx="20">
                  <c:v>0.78782003328041739</c:v>
                </c:pt>
                <c:pt idx="21">
                  <c:v>0.7859303951731258</c:v>
                </c:pt>
                <c:pt idx="22">
                  <c:v>0.77928945762936952</c:v>
                </c:pt>
                <c:pt idx="23">
                  <c:v>0.76788163124018194</c:v>
                </c:pt>
                <c:pt idx="24">
                  <c:v>0.74768911246575698</c:v>
                </c:pt>
                <c:pt idx="25">
                  <c:v>0.72445991847703861</c:v>
                </c:pt>
                <c:pt idx="26">
                  <c:v>0.70102376659729027</c:v>
                </c:pt>
                <c:pt idx="27">
                  <c:v>0.67541087414714407</c:v>
                </c:pt>
                <c:pt idx="28">
                  <c:v>0.56677920834908113</c:v>
                </c:pt>
                <c:pt idx="29">
                  <c:v>0.5396526637077893</c:v>
                </c:pt>
                <c:pt idx="30">
                  <c:v>0.51127650958829485</c:v>
                </c:pt>
                <c:pt idx="31">
                  <c:v>0.48713280536952208</c:v>
                </c:pt>
                <c:pt idx="32">
                  <c:v>0.45635292279499934</c:v>
                </c:pt>
                <c:pt idx="33">
                  <c:v>0.43075550990478428</c:v>
                </c:pt>
                <c:pt idx="34">
                  <c:v>0.40599233556912939</c:v>
                </c:pt>
                <c:pt idx="35">
                  <c:v>0.38271772348299765</c:v>
                </c:pt>
                <c:pt idx="36">
                  <c:v>0.36417398376050097</c:v>
                </c:pt>
                <c:pt idx="37">
                  <c:v>0.3431612456619757</c:v>
                </c:pt>
                <c:pt idx="38">
                  <c:v>0.29127889163683723</c:v>
                </c:pt>
                <c:pt idx="39">
                  <c:v>0.27702157708720232</c:v>
                </c:pt>
                <c:pt idx="40">
                  <c:v>0.26431866346571842</c:v>
                </c:pt>
                <c:pt idx="41">
                  <c:v>0.25317905111294331</c:v>
                </c:pt>
                <c:pt idx="42">
                  <c:v>0.24380897689009207</c:v>
                </c:pt>
                <c:pt idx="43">
                  <c:v>0.23557319024663248</c:v>
                </c:pt>
                <c:pt idx="44">
                  <c:v>0.22772427125975639</c:v>
                </c:pt>
                <c:pt idx="45">
                  <c:v>0.22081799772426081</c:v>
                </c:pt>
                <c:pt idx="46">
                  <c:v>0.21388566123924713</c:v>
                </c:pt>
                <c:pt idx="47">
                  <c:v>0.20783971607871371</c:v>
                </c:pt>
                <c:pt idx="48">
                  <c:v>0.18589142022457653</c:v>
                </c:pt>
                <c:pt idx="49">
                  <c:v>0.18131920194633286</c:v>
                </c:pt>
                <c:pt idx="50">
                  <c:v>0.1775194076857631</c:v>
                </c:pt>
                <c:pt idx="51">
                  <c:v>0.17401215214297125</c:v>
                </c:pt>
                <c:pt idx="52">
                  <c:v>0.17101901803390274</c:v>
                </c:pt>
                <c:pt idx="53">
                  <c:v>0.16768614046508137</c:v>
                </c:pt>
                <c:pt idx="54">
                  <c:v>0.16487838292181217</c:v>
                </c:pt>
                <c:pt idx="55">
                  <c:v>0.16228476335516481</c:v>
                </c:pt>
                <c:pt idx="56">
                  <c:v>0.15964167067291862</c:v>
                </c:pt>
                <c:pt idx="57">
                  <c:v>0.15741430788451286</c:v>
                </c:pt>
                <c:pt idx="58">
                  <c:v>0.14530713462402789</c:v>
                </c:pt>
                <c:pt idx="59">
                  <c:v>0.14346535260950088</c:v>
                </c:pt>
                <c:pt idx="60">
                  <c:v>0.14181361160067532</c:v>
                </c:pt>
                <c:pt idx="61">
                  <c:v>0.14075248484739311</c:v>
                </c:pt>
                <c:pt idx="62">
                  <c:v>0.13947194957870648</c:v>
                </c:pt>
                <c:pt idx="63">
                  <c:v>0.13826463313399434</c:v>
                </c:pt>
                <c:pt idx="64">
                  <c:v>0.13734400743776823</c:v>
                </c:pt>
                <c:pt idx="65">
                  <c:v>0.13631019029735042</c:v>
                </c:pt>
                <c:pt idx="66">
                  <c:v>0.13544453481857222</c:v>
                </c:pt>
                <c:pt idx="67">
                  <c:v>0.13479522269958094</c:v>
                </c:pt>
                <c:pt idx="68">
                  <c:v>0.12653197421909551</c:v>
                </c:pt>
                <c:pt idx="69">
                  <c:v>0.12610336307187942</c:v>
                </c:pt>
                <c:pt idx="70">
                  <c:v>0.1256827282859975</c:v>
                </c:pt>
                <c:pt idx="71">
                  <c:v>0.12534313982903642</c:v>
                </c:pt>
                <c:pt idx="72">
                  <c:v>0.12504623167226095</c:v>
                </c:pt>
                <c:pt idx="73">
                  <c:v>0.12463308452982724</c:v>
                </c:pt>
                <c:pt idx="74">
                  <c:v>0.12436971470981033</c:v>
                </c:pt>
                <c:pt idx="75">
                  <c:v>0.12441100139401401</c:v>
                </c:pt>
                <c:pt idx="76">
                  <c:v>0.12466033401006356</c:v>
                </c:pt>
                <c:pt idx="77">
                  <c:v>0.12453992823905058</c:v>
                </c:pt>
                <c:pt idx="78">
                  <c:v>0.1181701494186512</c:v>
                </c:pt>
                <c:pt idx="79">
                  <c:v>0.1182090518024238</c:v>
                </c:pt>
                <c:pt idx="80">
                  <c:v>0.11820472077794728</c:v>
                </c:pt>
                <c:pt idx="81">
                  <c:v>0.11815183650855461</c:v>
                </c:pt>
                <c:pt idx="82">
                  <c:v>0.11834528851233342</c:v>
                </c:pt>
                <c:pt idx="83">
                  <c:v>0.11861450753415713</c:v>
                </c:pt>
                <c:pt idx="84">
                  <c:v>0.11896300109145841</c:v>
                </c:pt>
                <c:pt idx="85">
                  <c:v>0.11936997184257647</c:v>
                </c:pt>
                <c:pt idx="86">
                  <c:v>0.11959263028763018</c:v>
                </c:pt>
                <c:pt idx="87">
                  <c:v>0.1199095819185214</c:v>
                </c:pt>
                <c:pt idx="88">
                  <c:v>0.1145222124056299</c:v>
                </c:pt>
                <c:pt idx="89">
                  <c:v>0.11475191729598219</c:v>
                </c:pt>
                <c:pt idx="90">
                  <c:v>0.1152042461540429</c:v>
                </c:pt>
                <c:pt idx="91">
                  <c:v>0.1156460498859372</c:v>
                </c:pt>
                <c:pt idx="92">
                  <c:v>0.1161978215514031</c:v>
                </c:pt>
                <c:pt idx="93">
                  <c:v>0.11676907732218436</c:v>
                </c:pt>
                <c:pt idx="94">
                  <c:v>0.11723090493513952</c:v>
                </c:pt>
                <c:pt idx="95">
                  <c:v>0.11763374580600425</c:v>
                </c:pt>
                <c:pt idx="96">
                  <c:v>0.11825681466312454</c:v>
                </c:pt>
                <c:pt idx="97">
                  <c:v>0.11876790770344116</c:v>
                </c:pt>
                <c:pt idx="98">
                  <c:v>0.11403934838383266</c:v>
                </c:pt>
                <c:pt idx="99">
                  <c:v>0.11454520168159182</c:v>
                </c:pt>
                <c:pt idx="100">
                  <c:v>0.11504204972439837</c:v>
                </c:pt>
                <c:pt idx="101">
                  <c:v>0.11580934349942043</c:v>
                </c:pt>
                <c:pt idx="102">
                  <c:v>0.11642670270824072</c:v>
                </c:pt>
                <c:pt idx="103">
                  <c:v>0.11715843968514121</c:v>
                </c:pt>
                <c:pt idx="104">
                  <c:v>0.1177569051416725</c:v>
                </c:pt>
                <c:pt idx="105">
                  <c:v>0.11849129921509607</c:v>
                </c:pt>
                <c:pt idx="106">
                  <c:v>0.11906795544617604</c:v>
                </c:pt>
                <c:pt idx="107">
                  <c:v>0.11962789674468689</c:v>
                </c:pt>
                <c:pt idx="108">
                  <c:v>0.11545041657577988</c:v>
                </c:pt>
                <c:pt idx="109">
                  <c:v>0.1161527123402718</c:v>
                </c:pt>
                <c:pt idx="110">
                  <c:v>0.11683723832576819</c:v>
                </c:pt>
                <c:pt idx="111">
                  <c:v>0.11751349993003435</c:v>
                </c:pt>
                <c:pt idx="112">
                  <c:v>0.11839163705386899</c:v>
                </c:pt>
                <c:pt idx="113">
                  <c:v>0.119062330323129</c:v>
                </c:pt>
                <c:pt idx="114">
                  <c:v>0.11972089620644287</c:v>
                </c:pt>
                <c:pt idx="115">
                  <c:v>0.12043346135534209</c:v>
                </c:pt>
                <c:pt idx="116">
                  <c:v>0.1210912006268046</c:v>
                </c:pt>
                <c:pt idx="117">
                  <c:v>0.12178770649042821</c:v>
                </c:pt>
                <c:pt idx="118">
                  <c:v>0.1180207394202981</c:v>
                </c:pt>
                <c:pt idx="119">
                  <c:v>0.1187495062362335</c:v>
                </c:pt>
                <c:pt idx="120">
                  <c:v>0.11959187894952492</c:v>
                </c:pt>
                <c:pt idx="121">
                  <c:v>0.12031866000051979</c:v>
                </c:pt>
                <c:pt idx="122">
                  <c:v>0.1211176765823657</c:v>
                </c:pt>
                <c:pt idx="123">
                  <c:v>0.12199156346198654</c:v>
                </c:pt>
                <c:pt idx="124">
                  <c:v>0.1226075022744192</c:v>
                </c:pt>
                <c:pt idx="125">
                  <c:v>0.12340420395567196</c:v>
                </c:pt>
                <c:pt idx="126">
                  <c:v>0.12411042914477223</c:v>
                </c:pt>
                <c:pt idx="127">
                  <c:v>0.1253062075439309</c:v>
                </c:pt>
                <c:pt idx="128">
                  <c:v>0.12157381697565463</c:v>
                </c:pt>
                <c:pt idx="129">
                  <c:v>0.12253267103427887</c:v>
                </c:pt>
                <c:pt idx="130">
                  <c:v>0.12326798708419888</c:v>
                </c:pt>
                <c:pt idx="131">
                  <c:v>0.12405938609728871</c:v>
                </c:pt>
                <c:pt idx="132">
                  <c:v>0.12478972633413916</c:v>
                </c:pt>
                <c:pt idx="133">
                  <c:v>0.12551694129547311</c:v>
                </c:pt>
                <c:pt idx="134">
                  <c:v>0.12648321483246386</c:v>
                </c:pt>
                <c:pt idx="135">
                  <c:v>0.12737939003424975</c:v>
                </c:pt>
                <c:pt idx="136">
                  <c:v>0.12831609672893771</c:v>
                </c:pt>
                <c:pt idx="137">
                  <c:v>0.12936303396555521</c:v>
                </c:pt>
                <c:pt idx="138">
                  <c:v>0.12595185138786652</c:v>
                </c:pt>
                <c:pt idx="139">
                  <c:v>0.12680970873954628</c:v>
                </c:pt>
                <c:pt idx="140">
                  <c:v>0.12773206047054589</c:v>
                </c:pt>
                <c:pt idx="141">
                  <c:v>0.12857542165389146</c:v>
                </c:pt>
                <c:pt idx="142">
                  <c:v>0.12960275292402906</c:v>
                </c:pt>
                <c:pt idx="143">
                  <c:v>0.13056364110755359</c:v>
                </c:pt>
                <c:pt idx="144">
                  <c:v>0.13157371604140095</c:v>
                </c:pt>
                <c:pt idx="145">
                  <c:v>0.13251287246498733</c:v>
                </c:pt>
                <c:pt idx="146">
                  <c:v>0.13334823488399764</c:v>
                </c:pt>
                <c:pt idx="147">
                  <c:v>0.13425911201501689</c:v>
                </c:pt>
                <c:pt idx="148">
                  <c:v>0.13084023020629082</c:v>
                </c:pt>
                <c:pt idx="149">
                  <c:v>0.13199714606731425</c:v>
                </c:pt>
                <c:pt idx="150">
                  <c:v>0.13285697937755669</c:v>
                </c:pt>
                <c:pt idx="151">
                  <c:v>0.13393406909395003</c:v>
                </c:pt>
                <c:pt idx="152">
                  <c:v>0.13468068028805763</c:v>
                </c:pt>
                <c:pt idx="153">
                  <c:v>0.13567548079759428</c:v>
                </c:pt>
                <c:pt idx="154">
                  <c:v>0.13695109708537787</c:v>
                </c:pt>
                <c:pt idx="155">
                  <c:v>0.13807786947907197</c:v>
                </c:pt>
                <c:pt idx="156">
                  <c:v>0.13903751281683879</c:v>
                </c:pt>
                <c:pt idx="157">
                  <c:v>0.13983645446029677</c:v>
                </c:pt>
                <c:pt idx="158">
                  <c:v>0.13646440068263863</c:v>
                </c:pt>
                <c:pt idx="159">
                  <c:v>0.1374268133647015</c:v>
                </c:pt>
                <c:pt idx="160">
                  <c:v>0.13841765566460462</c:v>
                </c:pt>
                <c:pt idx="161">
                  <c:v>0.13905605940074658</c:v>
                </c:pt>
                <c:pt idx="162">
                  <c:v>0.14009191434952739</c:v>
                </c:pt>
                <c:pt idx="163">
                  <c:v>0.14090023693883214</c:v>
                </c:pt>
                <c:pt idx="164">
                  <c:v>0.14220521401359071</c:v>
                </c:pt>
                <c:pt idx="165">
                  <c:v>0.14354423257433074</c:v>
                </c:pt>
                <c:pt idx="166">
                  <c:v>0.14433868662109159</c:v>
                </c:pt>
                <c:pt idx="167">
                  <c:v>0.14522289316804865</c:v>
                </c:pt>
                <c:pt idx="168">
                  <c:v>0.14192846669731321</c:v>
                </c:pt>
                <c:pt idx="169">
                  <c:v>0.14279496530797042</c:v>
                </c:pt>
                <c:pt idx="170">
                  <c:v>0.1435795937528323</c:v>
                </c:pt>
                <c:pt idx="171">
                  <c:v>0.14447301963819889</c:v>
                </c:pt>
                <c:pt idx="172">
                  <c:v>0.14521353436560444</c:v>
                </c:pt>
                <c:pt idx="173">
                  <c:v>0.14621821126884516</c:v>
                </c:pt>
                <c:pt idx="174">
                  <c:v>0.14707411205690635</c:v>
                </c:pt>
                <c:pt idx="175">
                  <c:v>0.14824047719301806</c:v>
                </c:pt>
                <c:pt idx="176">
                  <c:v>0.1492102386052975</c:v>
                </c:pt>
                <c:pt idx="177">
                  <c:v>0.15028732519924359</c:v>
                </c:pt>
                <c:pt idx="178">
                  <c:v>0.14715851378848682</c:v>
                </c:pt>
                <c:pt idx="179">
                  <c:v>0.14773130650330579</c:v>
                </c:pt>
                <c:pt idx="180">
                  <c:v>0.148795712043296</c:v>
                </c:pt>
                <c:pt idx="181">
                  <c:v>0.14960306552933902</c:v>
                </c:pt>
                <c:pt idx="182">
                  <c:v>0.15073869503743895</c:v>
                </c:pt>
                <c:pt idx="183">
                  <c:v>0.15173067650605046</c:v>
                </c:pt>
                <c:pt idx="184">
                  <c:v>0.15282149969889514</c:v>
                </c:pt>
                <c:pt idx="185">
                  <c:v>0.15368403573493261</c:v>
                </c:pt>
                <c:pt idx="186">
                  <c:v>0.15434863893282405</c:v>
                </c:pt>
                <c:pt idx="187">
                  <c:v>0.1552119875112849</c:v>
                </c:pt>
                <c:pt idx="188">
                  <c:v>0.15235783608656875</c:v>
                </c:pt>
                <c:pt idx="189">
                  <c:v>0.15333236283154525</c:v>
                </c:pt>
                <c:pt idx="190">
                  <c:v>0.15429617267468276</c:v>
                </c:pt>
                <c:pt idx="191">
                  <c:v>0.15543076729668379</c:v>
                </c:pt>
                <c:pt idx="192">
                  <c:v>0.15630256163385506</c:v>
                </c:pt>
                <c:pt idx="193">
                  <c:v>0.15721946007052762</c:v>
                </c:pt>
                <c:pt idx="194">
                  <c:v>0.15818202620336377</c:v>
                </c:pt>
                <c:pt idx="195">
                  <c:v>0.15940043307545601</c:v>
                </c:pt>
                <c:pt idx="196">
                  <c:v>0.16051566365677733</c:v>
                </c:pt>
                <c:pt idx="197">
                  <c:v>0.16162807240233554</c:v>
                </c:pt>
                <c:pt idx="198">
                  <c:v>0.15843390212644398</c:v>
                </c:pt>
                <c:pt idx="199">
                  <c:v>0.15930396658955351</c:v>
                </c:pt>
                <c:pt idx="200">
                  <c:v>0.16067835913272005</c:v>
                </c:pt>
                <c:pt idx="201">
                  <c:v>0.16171287575271584</c:v>
                </c:pt>
                <c:pt idx="202">
                  <c:v>0.1625300574906155</c:v>
                </c:pt>
                <c:pt idx="203">
                  <c:v>0.16348519033072975</c:v>
                </c:pt>
                <c:pt idx="204">
                  <c:v>0.16439451762424434</c:v>
                </c:pt>
                <c:pt idx="205">
                  <c:v>0.16546869742889764</c:v>
                </c:pt>
                <c:pt idx="206">
                  <c:v>0.16664976734903628</c:v>
                </c:pt>
                <c:pt idx="207">
                  <c:v>0.16777020252814173</c:v>
                </c:pt>
                <c:pt idx="208">
                  <c:v>0.16475865842804752</c:v>
                </c:pt>
                <c:pt idx="209">
                  <c:v>0.16613003623748235</c:v>
                </c:pt>
                <c:pt idx="210">
                  <c:v>0.16720692007790167</c:v>
                </c:pt>
                <c:pt idx="211">
                  <c:v>0.16819991830445238</c:v>
                </c:pt>
                <c:pt idx="212">
                  <c:v>0.16940056471496576</c:v>
                </c:pt>
                <c:pt idx="213">
                  <c:v>0.17038655441342226</c:v>
                </c:pt>
                <c:pt idx="214">
                  <c:v>0.17136882354449653</c:v>
                </c:pt>
                <c:pt idx="215">
                  <c:v>0.17252572702528707</c:v>
                </c:pt>
                <c:pt idx="216">
                  <c:v>0.17363224373562688</c:v>
                </c:pt>
                <c:pt idx="217">
                  <c:v>0.17461632536034666</c:v>
                </c:pt>
                <c:pt idx="218">
                  <c:v>0.17200753317958939</c:v>
                </c:pt>
                <c:pt idx="219">
                  <c:v>0.17315130908783191</c:v>
                </c:pt>
                <c:pt idx="220">
                  <c:v>0.17426751346262079</c:v>
                </c:pt>
                <c:pt idx="221">
                  <c:v>0.17524759844290219</c:v>
                </c:pt>
                <c:pt idx="222">
                  <c:v>0.17630030983468395</c:v>
                </c:pt>
                <c:pt idx="223">
                  <c:v>0.17725239401342868</c:v>
                </c:pt>
                <c:pt idx="224">
                  <c:v>0.17825403484539043</c:v>
                </c:pt>
                <c:pt idx="225">
                  <c:v>0.17920192618168046</c:v>
                </c:pt>
                <c:pt idx="226">
                  <c:v>0.18051187504743113</c:v>
                </c:pt>
                <c:pt idx="227">
                  <c:v>0.18191291765246315</c:v>
                </c:pt>
                <c:pt idx="228">
                  <c:v>0.17935574249492486</c:v>
                </c:pt>
                <c:pt idx="229">
                  <c:v>0.17986933977485392</c:v>
                </c:pt>
                <c:pt idx="230">
                  <c:v>0.18125056046712723</c:v>
                </c:pt>
                <c:pt idx="231">
                  <c:v>0.18239366069666194</c:v>
                </c:pt>
                <c:pt idx="232">
                  <c:v>0.1833836705049835</c:v>
                </c:pt>
                <c:pt idx="233">
                  <c:v>0.18426836667544511</c:v>
                </c:pt>
                <c:pt idx="234">
                  <c:v>0.1854246394615717</c:v>
                </c:pt>
                <c:pt idx="235">
                  <c:v>0.18646573848211978</c:v>
                </c:pt>
                <c:pt idx="236">
                  <c:v>0.1872872651066185</c:v>
                </c:pt>
                <c:pt idx="237">
                  <c:v>0.18817803449337478</c:v>
                </c:pt>
                <c:pt idx="238">
                  <c:v>0.18562267745884495</c:v>
                </c:pt>
                <c:pt idx="239">
                  <c:v>0.18688610201459582</c:v>
                </c:pt>
                <c:pt idx="240">
                  <c:v>0.18803891645010462</c:v>
                </c:pt>
                <c:pt idx="241">
                  <c:v>0.1891784597913681</c:v>
                </c:pt>
                <c:pt idx="242">
                  <c:v>0.19019769195397715</c:v>
                </c:pt>
                <c:pt idx="243">
                  <c:v>0.19102145397578488</c:v>
                </c:pt>
                <c:pt idx="244">
                  <c:v>0.19237863578521958</c:v>
                </c:pt>
                <c:pt idx="245">
                  <c:v>0.19357007148450325</c:v>
                </c:pt>
                <c:pt idx="246">
                  <c:v>0.19457268878293246</c:v>
                </c:pt>
                <c:pt idx="247">
                  <c:v>0.19562676026169865</c:v>
                </c:pt>
                <c:pt idx="248">
                  <c:v>0.19279220395740726</c:v>
                </c:pt>
                <c:pt idx="249">
                  <c:v>0.19394354401280373</c:v>
                </c:pt>
                <c:pt idx="250">
                  <c:v>0.19563231925306138</c:v>
                </c:pt>
                <c:pt idx="251">
                  <c:v>0.19635980608808745</c:v>
                </c:pt>
                <c:pt idx="252">
                  <c:v>0.19764918835680034</c:v>
                </c:pt>
                <c:pt idx="253">
                  <c:v>0.19853856792192481</c:v>
                </c:pt>
                <c:pt idx="254">
                  <c:v>0.19941738348612822</c:v>
                </c:pt>
                <c:pt idx="255">
                  <c:v>0.20028333184409858</c:v>
                </c:pt>
                <c:pt idx="256">
                  <c:v>0.20138831487733666</c:v>
                </c:pt>
                <c:pt idx="257">
                  <c:v>0.20256422468848595</c:v>
                </c:pt>
                <c:pt idx="258">
                  <c:v>0.19973272543458656</c:v>
                </c:pt>
                <c:pt idx="259">
                  <c:v>0.20084889970298281</c:v>
                </c:pt>
                <c:pt idx="260">
                  <c:v>0.20188586104194789</c:v>
                </c:pt>
                <c:pt idx="261">
                  <c:v>0.2028122274118975</c:v>
                </c:pt>
                <c:pt idx="262">
                  <c:v>0.20387395216963433</c:v>
                </c:pt>
                <c:pt idx="263">
                  <c:v>0.20522664088516246</c:v>
                </c:pt>
                <c:pt idx="264">
                  <c:v>0.20638276100478301</c:v>
                </c:pt>
                <c:pt idx="265">
                  <c:v>0.20738982324921959</c:v>
                </c:pt>
                <c:pt idx="266">
                  <c:v>0.20879458722394459</c:v>
                </c:pt>
                <c:pt idx="267">
                  <c:v>0.21002214952681819</c:v>
                </c:pt>
                <c:pt idx="268">
                  <c:v>0.20684206036784836</c:v>
                </c:pt>
                <c:pt idx="269">
                  <c:v>0.20745920477653404</c:v>
                </c:pt>
                <c:pt idx="270">
                  <c:v>0.20857845136608361</c:v>
                </c:pt>
                <c:pt idx="271">
                  <c:v>0.2098065201327293</c:v>
                </c:pt>
                <c:pt idx="272">
                  <c:v>0.21097888018067595</c:v>
                </c:pt>
                <c:pt idx="273">
                  <c:v>0.21261385533139401</c:v>
                </c:pt>
                <c:pt idx="274">
                  <c:v>0.21409862109428171</c:v>
                </c:pt>
                <c:pt idx="275">
                  <c:v>0.21519015214306506</c:v>
                </c:pt>
                <c:pt idx="276">
                  <c:v>0.21669378709394072</c:v>
                </c:pt>
                <c:pt idx="277">
                  <c:v>0.2177984485676985</c:v>
                </c:pt>
                <c:pt idx="278">
                  <c:v>0.21454110414319277</c:v>
                </c:pt>
                <c:pt idx="279">
                  <c:v>0.21579608987566762</c:v>
                </c:pt>
                <c:pt idx="280">
                  <c:v>0.21671125538806407</c:v>
                </c:pt>
                <c:pt idx="281">
                  <c:v>0.21781341984669034</c:v>
                </c:pt>
                <c:pt idx="282">
                  <c:v>0.21894692100120164</c:v>
                </c:pt>
                <c:pt idx="283">
                  <c:v>0.22063178082276863</c:v>
                </c:pt>
                <c:pt idx="284">
                  <c:v>0.22181111333254672</c:v>
                </c:pt>
                <c:pt idx="285">
                  <c:v>0.22287859368636792</c:v>
                </c:pt>
                <c:pt idx="286">
                  <c:v>0.22414421977392257</c:v>
                </c:pt>
                <c:pt idx="287">
                  <c:v>0.22499568803389366</c:v>
                </c:pt>
                <c:pt idx="288">
                  <c:v>0.2223723656645985</c:v>
                </c:pt>
                <c:pt idx="289">
                  <c:v>0.22377422209452855</c:v>
                </c:pt>
                <c:pt idx="290">
                  <c:v>0.22490063521372308</c:v>
                </c:pt>
                <c:pt idx="291">
                  <c:v>0.22601426739897648</c:v>
                </c:pt>
                <c:pt idx="292">
                  <c:v>0.22751519218132107</c:v>
                </c:pt>
                <c:pt idx="293">
                  <c:v>0.22902653482036428</c:v>
                </c:pt>
                <c:pt idx="294">
                  <c:v>0.2297702225169525</c:v>
                </c:pt>
                <c:pt idx="295">
                  <c:v>0.23126423851614006</c:v>
                </c:pt>
                <c:pt idx="296">
                  <c:v>0.23206003867459321</c:v>
                </c:pt>
                <c:pt idx="297">
                  <c:v>0.23314735767750178</c:v>
                </c:pt>
                <c:pt idx="298">
                  <c:v>0.23021808730165699</c:v>
                </c:pt>
                <c:pt idx="299">
                  <c:v>0.23170420623685151</c:v>
                </c:pt>
                <c:pt idx="300">
                  <c:v>0.23274204244443328</c:v>
                </c:pt>
                <c:pt idx="301">
                  <c:v>0.23361609192136379</c:v>
                </c:pt>
                <c:pt idx="302">
                  <c:v>0.23485823595800023</c:v>
                </c:pt>
                <c:pt idx="303">
                  <c:v>0.236597482033648</c:v>
                </c:pt>
                <c:pt idx="304">
                  <c:v>0.23747261137493553</c:v>
                </c:pt>
                <c:pt idx="305">
                  <c:v>0.23866223744336676</c:v>
                </c:pt>
                <c:pt idx="306">
                  <c:v>0.23999186212962043</c:v>
                </c:pt>
                <c:pt idx="307">
                  <c:v>0.24124487566116978</c:v>
                </c:pt>
                <c:pt idx="308">
                  <c:v>0.23863679539191218</c:v>
                </c:pt>
                <c:pt idx="309">
                  <c:v>0.23945697789942647</c:v>
                </c:pt>
                <c:pt idx="310">
                  <c:v>0.24078514987425004</c:v>
                </c:pt>
                <c:pt idx="311">
                  <c:v>0.24166534662156114</c:v>
                </c:pt>
                <c:pt idx="312">
                  <c:v>0.2433072601445663</c:v>
                </c:pt>
                <c:pt idx="313">
                  <c:v>0.24449855695810929</c:v>
                </c:pt>
                <c:pt idx="314">
                  <c:v>0.24576139187789187</c:v>
                </c:pt>
                <c:pt idx="315">
                  <c:v>0.24738994449790286</c:v>
                </c:pt>
                <c:pt idx="316">
                  <c:v>0.2481045621313008</c:v>
                </c:pt>
                <c:pt idx="317">
                  <c:v>0.2496798094281317</c:v>
                </c:pt>
                <c:pt idx="318">
                  <c:v>0.2474004823301395</c:v>
                </c:pt>
                <c:pt idx="319">
                  <c:v>0.24850379848130363</c:v>
                </c:pt>
                <c:pt idx="320">
                  <c:v>0.24966968296485098</c:v>
                </c:pt>
                <c:pt idx="321">
                  <c:v>0.25126002361385591</c:v>
                </c:pt>
                <c:pt idx="322">
                  <c:v>0.25254645696383959</c:v>
                </c:pt>
                <c:pt idx="323">
                  <c:v>0.25327839237569799</c:v>
                </c:pt>
                <c:pt idx="324">
                  <c:v>0.25477646797596998</c:v>
                </c:pt>
                <c:pt idx="325">
                  <c:v>0.25593015735046021</c:v>
                </c:pt>
                <c:pt idx="326">
                  <c:v>0.25739811723300593</c:v>
                </c:pt>
                <c:pt idx="327">
                  <c:v>0.25809815595850349</c:v>
                </c:pt>
                <c:pt idx="328">
                  <c:v>0.25549939217315776</c:v>
                </c:pt>
                <c:pt idx="329">
                  <c:v>0.25677230174150761</c:v>
                </c:pt>
                <c:pt idx="330">
                  <c:v>0.2582697262647759</c:v>
                </c:pt>
                <c:pt idx="331">
                  <c:v>0.25971019402134976</c:v>
                </c:pt>
                <c:pt idx="332">
                  <c:v>0.2614135924198463</c:v>
                </c:pt>
                <c:pt idx="333">
                  <c:v>0.26314047860133577</c:v>
                </c:pt>
                <c:pt idx="334">
                  <c:v>0.26422564275743732</c:v>
                </c:pt>
                <c:pt idx="335">
                  <c:v>0.26493946384975314</c:v>
                </c:pt>
                <c:pt idx="336">
                  <c:v>0.26572934499307432</c:v>
                </c:pt>
                <c:pt idx="337">
                  <c:v>0.26601197644966851</c:v>
                </c:pt>
                <c:pt idx="338">
                  <c:v>0.2627489935333594</c:v>
                </c:pt>
                <c:pt idx="339">
                  <c:v>0.26457177351843891</c:v>
                </c:pt>
                <c:pt idx="340">
                  <c:v>0.26635905865999188</c:v>
                </c:pt>
                <c:pt idx="341">
                  <c:v>0.26775985481627496</c:v>
                </c:pt>
                <c:pt idx="342">
                  <c:v>0.26931254145843853</c:v>
                </c:pt>
                <c:pt idx="343">
                  <c:v>0.27098458134187903</c:v>
                </c:pt>
                <c:pt idx="344">
                  <c:v>0.27164469218144766</c:v>
                </c:pt>
                <c:pt idx="345">
                  <c:v>0.27293129739178029</c:v>
                </c:pt>
                <c:pt idx="346">
                  <c:v>0.27379194009343233</c:v>
                </c:pt>
                <c:pt idx="347">
                  <c:v>0.27498644568322017</c:v>
                </c:pt>
                <c:pt idx="348">
                  <c:v>0.27167803515751887</c:v>
                </c:pt>
                <c:pt idx="349">
                  <c:v>0.2731023246929582</c:v>
                </c:pt>
                <c:pt idx="350">
                  <c:v>0.27466365155488276</c:v>
                </c:pt>
                <c:pt idx="351">
                  <c:v>0.27645451886938399</c:v>
                </c:pt>
                <c:pt idx="352">
                  <c:v>0.27789343813670675</c:v>
                </c:pt>
                <c:pt idx="353">
                  <c:v>0.27965256891179191</c:v>
                </c:pt>
                <c:pt idx="354">
                  <c:v>0.28086401470687022</c:v>
                </c:pt>
                <c:pt idx="355">
                  <c:v>0.28132456884409046</c:v>
                </c:pt>
                <c:pt idx="356">
                  <c:v>0.28303163636545287</c:v>
                </c:pt>
                <c:pt idx="357">
                  <c:v>0.28401750956444621</c:v>
                </c:pt>
                <c:pt idx="358">
                  <c:v>0.28110510519739318</c:v>
                </c:pt>
                <c:pt idx="359">
                  <c:v>0.28270175938437064</c:v>
                </c:pt>
                <c:pt idx="360">
                  <c:v>0.28411269993979449</c:v>
                </c:pt>
                <c:pt idx="361">
                  <c:v>0.28538827181030635</c:v>
                </c:pt>
                <c:pt idx="362">
                  <c:v>0.28707085253780762</c:v>
                </c:pt>
                <c:pt idx="363">
                  <c:v>0.28812426163445665</c:v>
                </c:pt>
                <c:pt idx="364">
                  <c:v>0.29042797805778631</c:v>
                </c:pt>
                <c:pt idx="365">
                  <c:v>0.29160238691311746</c:v>
                </c:pt>
                <c:pt idx="366">
                  <c:v>0.29275752340994676</c:v>
                </c:pt>
                <c:pt idx="367">
                  <c:v>0.29434434581764263</c:v>
                </c:pt>
                <c:pt idx="368">
                  <c:v>0.29099603651037126</c:v>
                </c:pt>
                <c:pt idx="369">
                  <c:v>0.29206677876883286</c:v>
                </c:pt>
                <c:pt idx="370">
                  <c:v>0.29381937822456022</c:v>
                </c:pt>
                <c:pt idx="371">
                  <c:v>0.2953249878353108</c:v>
                </c:pt>
                <c:pt idx="372">
                  <c:v>0.29699047883895691</c:v>
                </c:pt>
                <c:pt idx="373">
                  <c:v>0.29830994390072418</c:v>
                </c:pt>
                <c:pt idx="374">
                  <c:v>0.29968432712409093</c:v>
                </c:pt>
                <c:pt idx="375">
                  <c:v>0.30116147324965553</c:v>
                </c:pt>
                <c:pt idx="376">
                  <c:v>0.30275590004090791</c:v>
                </c:pt>
                <c:pt idx="377">
                  <c:v>0.30336899894782954</c:v>
                </c:pt>
                <c:pt idx="378">
                  <c:v>0.30085353138244614</c:v>
                </c:pt>
                <c:pt idx="379">
                  <c:v>0.30190103979794813</c:v>
                </c:pt>
                <c:pt idx="380">
                  <c:v>0.30307085072030288</c:v>
                </c:pt>
                <c:pt idx="381">
                  <c:v>0.30471071520892828</c:v>
                </c:pt>
                <c:pt idx="382">
                  <c:v>0.30677453900503937</c:v>
                </c:pt>
                <c:pt idx="383">
                  <c:v>0.30867847217558608</c:v>
                </c:pt>
                <c:pt idx="384">
                  <c:v>0.31069012671701124</c:v>
                </c:pt>
                <c:pt idx="385">
                  <c:v>0.31153986078471169</c:v>
                </c:pt>
                <c:pt idx="386">
                  <c:v>0.3130736279020393</c:v>
                </c:pt>
                <c:pt idx="387">
                  <c:v>0.31432224639696327</c:v>
                </c:pt>
                <c:pt idx="388">
                  <c:v>0.31155503369231358</c:v>
                </c:pt>
                <c:pt idx="389">
                  <c:v>0.31288897761110984</c:v>
                </c:pt>
                <c:pt idx="390">
                  <c:v>0.31422118457748371</c:v>
                </c:pt>
                <c:pt idx="391">
                  <c:v>0.31522562781705754</c:v>
                </c:pt>
                <c:pt idx="392">
                  <c:v>0.31606555450238594</c:v>
                </c:pt>
                <c:pt idx="393">
                  <c:v>0.3176372738666024</c:v>
                </c:pt>
                <c:pt idx="394">
                  <c:v>0.31920783154477833</c:v>
                </c:pt>
                <c:pt idx="395">
                  <c:v>0.32057709873526213</c:v>
                </c:pt>
                <c:pt idx="396">
                  <c:v>0.32215434301375839</c:v>
                </c:pt>
                <c:pt idx="397">
                  <c:v>0.32401648047710324</c:v>
                </c:pt>
                <c:pt idx="398">
                  <c:v>0.32100862512231282</c:v>
                </c:pt>
                <c:pt idx="399">
                  <c:v>0.32226107377826785</c:v>
                </c:pt>
                <c:pt idx="400">
                  <c:v>0.3240755305230632</c:v>
                </c:pt>
                <c:pt idx="401">
                  <c:v>0.32502617493837926</c:v>
                </c:pt>
                <c:pt idx="402">
                  <c:v>0.32638936482527819</c:v>
                </c:pt>
                <c:pt idx="403">
                  <c:v>0.32794256580053122</c:v>
                </c:pt>
                <c:pt idx="404">
                  <c:v>0.32960933096271566</c:v>
                </c:pt>
                <c:pt idx="405">
                  <c:v>0.33062964471384287</c:v>
                </c:pt>
                <c:pt idx="406">
                  <c:v>0.33258577467828654</c:v>
                </c:pt>
                <c:pt idx="407">
                  <c:v>0.3341373841863266</c:v>
                </c:pt>
                <c:pt idx="408">
                  <c:v>0.33124120332024121</c:v>
                </c:pt>
                <c:pt idx="409">
                  <c:v>0.33245105854254209</c:v>
                </c:pt>
                <c:pt idx="410">
                  <c:v>0.33334105234719569</c:v>
                </c:pt>
                <c:pt idx="411">
                  <c:v>0.33496264218593136</c:v>
                </c:pt>
                <c:pt idx="412">
                  <c:v>0.33689176531209852</c:v>
                </c:pt>
                <c:pt idx="413">
                  <c:v>0.33775068628499827</c:v>
                </c:pt>
                <c:pt idx="414">
                  <c:v>0.34064368229746134</c:v>
                </c:pt>
                <c:pt idx="415">
                  <c:v>0.34236598721398409</c:v>
                </c:pt>
                <c:pt idx="416">
                  <c:v>0.34482234173774318</c:v>
                </c:pt>
                <c:pt idx="417">
                  <c:v>0.3458837391679862</c:v>
                </c:pt>
                <c:pt idx="418">
                  <c:v>0.34330581811474048</c:v>
                </c:pt>
                <c:pt idx="419">
                  <c:v>0.34345871653905402</c:v>
                </c:pt>
                <c:pt idx="420">
                  <c:v>0.34515816682038974</c:v>
                </c:pt>
                <c:pt idx="421">
                  <c:v>0.34656011735553488</c:v>
                </c:pt>
                <c:pt idx="422">
                  <c:v>0.34860354858130893</c:v>
                </c:pt>
                <c:pt idx="423">
                  <c:v>0.35004060379236895</c:v>
                </c:pt>
                <c:pt idx="424">
                  <c:v>0.35181046661361598</c:v>
                </c:pt>
                <c:pt idx="425">
                  <c:v>0.35370557571247851</c:v>
                </c:pt>
                <c:pt idx="426">
                  <c:v>0.35505705516008534</c:v>
                </c:pt>
                <c:pt idx="427">
                  <c:v>0.35689722685445691</c:v>
                </c:pt>
                <c:pt idx="428">
                  <c:v>0.35490950910547397</c:v>
                </c:pt>
                <c:pt idx="429">
                  <c:v>0.3559107052099687</c:v>
                </c:pt>
                <c:pt idx="430">
                  <c:v>0.35748646103388027</c:v>
                </c:pt>
                <c:pt idx="431">
                  <c:v>0.35827714370638652</c:v>
                </c:pt>
                <c:pt idx="432">
                  <c:v>0.36029353423606053</c:v>
                </c:pt>
                <c:pt idx="433">
                  <c:v>0.36231559376551359</c:v>
                </c:pt>
                <c:pt idx="434">
                  <c:v>0.36391319366363395</c:v>
                </c:pt>
                <c:pt idx="435">
                  <c:v>0.36601544065145003</c:v>
                </c:pt>
                <c:pt idx="436">
                  <c:v>0.36853909436400639</c:v>
                </c:pt>
                <c:pt idx="437">
                  <c:v>0.36936757281963778</c:v>
                </c:pt>
                <c:pt idx="438">
                  <c:v>0.3661019528248502</c:v>
                </c:pt>
                <c:pt idx="439">
                  <c:v>0.36767205949858911</c:v>
                </c:pt>
                <c:pt idx="440">
                  <c:v>0.36986873786329533</c:v>
                </c:pt>
                <c:pt idx="441">
                  <c:v>0.37167466718430731</c:v>
                </c:pt>
                <c:pt idx="442">
                  <c:v>0.37263592527830541</c:v>
                </c:pt>
                <c:pt idx="443">
                  <c:v>0.37459505645407198</c:v>
                </c:pt>
                <c:pt idx="444">
                  <c:v>0.37558816459750133</c:v>
                </c:pt>
                <c:pt idx="445">
                  <c:v>0.37690080885825206</c:v>
                </c:pt>
                <c:pt idx="446">
                  <c:v>0.37947768099813839</c:v>
                </c:pt>
                <c:pt idx="447">
                  <c:v>0.38103568078489364</c:v>
                </c:pt>
                <c:pt idx="448">
                  <c:v>0.37749272687248264</c:v>
                </c:pt>
                <c:pt idx="449">
                  <c:v>0.37881356535099187</c:v>
                </c:pt>
                <c:pt idx="450">
                  <c:v>0.38095994556410251</c:v>
                </c:pt>
                <c:pt idx="451">
                  <c:v>0.38339847438461544</c:v>
                </c:pt>
                <c:pt idx="452">
                  <c:v>0.38573830081834476</c:v>
                </c:pt>
                <c:pt idx="453">
                  <c:v>0.38876798767452125</c:v>
                </c:pt>
                <c:pt idx="454">
                  <c:v>0.3899119536443349</c:v>
                </c:pt>
                <c:pt idx="455">
                  <c:v>0.39125895715975362</c:v>
                </c:pt>
                <c:pt idx="456">
                  <c:v>0.39197786617316926</c:v>
                </c:pt>
                <c:pt idx="457">
                  <c:v>0.39331365984567862</c:v>
                </c:pt>
                <c:pt idx="458">
                  <c:v>0.3902305041920836</c:v>
                </c:pt>
                <c:pt idx="459">
                  <c:v>0.39301886639029998</c:v>
                </c:pt>
                <c:pt idx="460">
                  <c:v>0.39471449307020046</c:v>
                </c:pt>
                <c:pt idx="461">
                  <c:v>0.39601044766453847</c:v>
                </c:pt>
                <c:pt idx="462">
                  <c:v>0.39870307628439045</c:v>
                </c:pt>
                <c:pt idx="463">
                  <c:v>0.40111850384131809</c:v>
                </c:pt>
                <c:pt idx="464">
                  <c:v>0.40232113208144576</c:v>
                </c:pt>
                <c:pt idx="465">
                  <c:v>0.40447218727457057</c:v>
                </c:pt>
                <c:pt idx="466">
                  <c:v>0.40669432918401821</c:v>
                </c:pt>
                <c:pt idx="467">
                  <c:v>0.40884162498516813</c:v>
                </c:pt>
                <c:pt idx="468">
                  <c:v>0.40682360551448704</c:v>
                </c:pt>
                <c:pt idx="469">
                  <c:v>0.40932207661177727</c:v>
                </c:pt>
                <c:pt idx="470">
                  <c:v>0.41152103996355704</c:v>
                </c:pt>
                <c:pt idx="471">
                  <c:v>0.41261164200344008</c:v>
                </c:pt>
                <c:pt idx="472">
                  <c:v>0.41149254836877452</c:v>
                </c:pt>
                <c:pt idx="473">
                  <c:v>0.4138246642952042</c:v>
                </c:pt>
                <c:pt idx="474">
                  <c:v>0.41600195639310206</c:v>
                </c:pt>
                <c:pt idx="475">
                  <c:v>0.4181845591615248</c:v>
                </c:pt>
                <c:pt idx="476">
                  <c:v>0.42188347134148224</c:v>
                </c:pt>
                <c:pt idx="477">
                  <c:v>0.4232634591878866</c:v>
                </c:pt>
                <c:pt idx="478">
                  <c:v>0.42035698499806934</c:v>
                </c:pt>
                <c:pt idx="479">
                  <c:v>0.42445802655291182</c:v>
                </c:pt>
                <c:pt idx="480">
                  <c:v>0.42590857841077601</c:v>
                </c:pt>
                <c:pt idx="481">
                  <c:v>0.42824782300408942</c:v>
                </c:pt>
                <c:pt idx="482">
                  <c:v>0.43148477830976473</c:v>
                </c:pt>
                <c:pt idx="483">
                  <c:v>0.43312607436009071</c:v>
                </c:pt>
                <c:pt idx="484">
                  <c:v>0.43313950348087649</c:v>
                </c:pt>
                <c:pt idx="485">
                  <c:v>0.43440579950832481</c:v>
                </c:pt>
                <c:pt idx="486">
                  <c:v>0.43668377363320604</c:v>
                </c:pt>
                <c:pt idx="487">
                  <c:v>0.43910039937866302</c:v>
                </c:pt>
                <c:pt idx="488">
                  <c:v>0.43754104922291692</c:v>
                </c:pt>
                <c:pt idx="489">
                  <c:v>0.44043146117440041</c:v>
                </c:pt>
                <c:pt idx="490">
                  <c:v>0.44202207288516793</c:v>
                </c:pt>
                <c:pt idx="491">
                  <c:v>0.44331833011758309</c:v>
                </c:pt>
                <c:pt idx="492">
                  <c:v>0.44547011583530927</c:v>
                </c:pt>
                <c:pt idx="493">
                  <c:v>0.44840686518334433</c:v>
                </c:pt>
                <c:pt idx="494">
                  <c:v>0.45103836995746427</c:v>
                </c:pt>
                <c:pt idx="495">
                  <c:v>0.45382227958718957</c:v>
                </c:pt>
                <c:pt idx="496">
                  <c:v>0.45550260682043331</c:v>
                </c:pt>
                <c:pt idx="497">
                  <c:v>0.45851479253056071</c:v>
                </c:pt>
                <c:pt idx="498">
                  <c:v>0.4555202205941874</c:v>
                </c:pt>
                <c:pt idx="499">
                  <c:v>0.45650280102178686</c:v>
                </c:pt>
                <c:pt idx="500">
                  <c:v>0.45845761868098212</c:v>
                </c:pt>
                <c:pt idx="501">
                  <c:v>0.4608106283853366</c:v>
                </c:pt>
                <c:pt idx="502">
                  <c:v>0.46399065500215347</c:v>
                </c:pt>
                <c:pt idx="503">
                  <c:v>0.46607138841301243</c:v>
                </c:pt>
                <c:pt idx="504">
                  <c:v>0.46984795158631654</c:v>
                </c:pt>
                <c:pt idx="505">
                  <c:v>0.47123450766381692</c:v>
                </c:pt>
                <c:pt idx="506">
                  <c:v>0.4719545062344041</c:v>
                </c:pt>
                <c:pt idx="507">
                  <c:v>0.47518480647078581</c:v>
                </c:pt>
                <c:pt idx="508">
                  <c:v>0.47213895501467906</c:v>
                </c:pt>
                <c:pt idx="509">
                  <c:v>0.47472853492200373</c:v>
                </c:pt>
                <c:pt idx="510">
                  <c:v>0.47747579312101773</c:v>
                </c:pt>
                <c:pt idx="511">
                  <c:v>0.47762695609569772</c:v>
                </c:pt>
                <c:pt idx="512">
                  <c:v>0.48042541603095046</c:v>
                </c:pt>
                <c:pt idx="513">
                  <c:v>0.48230018108302419</c:v>
                </c:pt>
                <c:pt idx="514">
                  <c:v>0.48410368259686826</c:v>
                </c:pt>
                <c:pt idx="515">
                  <c:v>0.48760709349350878</c:v>
                </c:pt>
                <c:pt idx="516">
                  <c:v>0.49025829748896105</c:v>
                </c:pt>
                <c:pt idx="517">
                  <c:v>0.49344123230988107</c:v>
                </c:pt>
                <c:pt idx="518">
                  <c:v>0.4891556088650309</c:v>
                </c:pt>
                <c:pt idx="519">
                  <c:v>0.49049497098866379</c:v>
                </c:pt>
                <c:pt idx="520">
                  <c:v>0.49392014706734794</c:v>
                </c:pt>
                <c:pt idx="521">
                  <c:v>0.49507286568984116</c:v>
                </c:pt>
                <c:pt idx="522">
                  <c:v>0.49767729061164079</c:v>
                </c:pt>
                <c:pt idx="523">
                  <c:v>0.50041523484993122</c:v>
                </c:pt>
                <c:pt idx="524">
                  <c:v>0.50266327509465658</c:v>
                </c:pt>
                <c:pt idx="525">
                  <c:v>0.50351677126802818</c:v>
                </c:pt>
                <c:pt idx="526">
                  <c:v>0.50557612995759382</c:v>
                </c:pt>
                <c:pt idx="527">
                  <c:v>0.50911586252409802</c:v>
                </c:pt>
                <c:pt idx="528">
                  <c:v>0.50663122189163923</c:v>
                </c:pt>
                <c:pt idx="529">
                  <c:v>0.50944405322679198</c:v>
                </c:pt>
                <c:pt idx="530">
                  <c:v>0.51226005470923763</c:v>
                </c:pt>
                <c:pt idx="531">
                  <c:v>0.51256733871080573</c:v>
                </c:pt>
                <c:pt idx="532">
                  <c:v>0.5139667771123414</c:v>
                </c:pt>
                <c:pt idx="533">
                  <c:v>0.5171622797977079</c:v>
                </c:pt>
                <c:pt idx="534">
                  <c:v>0.51809019511946042</c:v>
                </c:pt>
                <c:pt idx="535">
                  <c:v>0.52140048513416126</c:v>
                </c:pt>
                <c:pt idx="536">
                  <c:v>0.52405303675761294</c:v>
                </c:pt>
                <c:pt idx="537">
                  <c:v>0.524822692505577</c:v>
                </c:pt>
                <c:pt idx="538">
                  <c:v>0.5211903168911467</c:v>
                </c:pt>
                <c:pt idx="539">
                  <c:v>0.52519198710889647</c:v>
                </c:pt>
                <c:pt idx="540">
                  <c:v>0.52827388646606177</c:v>
                </c:pt>
                <c:pt idx="541">
                  <c:v>0.53068582907526263</c:v>
                </c:pt>
                <c:pt idx="542">
                  <c:v>0.53238175963735312</c:v>
                </c:pt>
                <c:pt idx="543">
                  <c:v>0.53513420528578037</c:v>
                </c:pt>
                <c:pt idx="544">
                  <c:v>0.53860354986035552</c:v>
                </c:pt>
                <c:pt idx="545">
                  <c:v>0.53857511982919393</c:v>
                </c:pt>
                <c:pt idx="546">
                  <c:v>0.54262102623424724</c:v>
                </c:pt>
                <c:pt idx="547">
                  <c:v>0.54368765812353881</c:v>
                </c:pt>
                <c:pt idx="548">
                  <c:v>0.53997755533797875</c:v>
                </c:pt>
                <c:pt idx="549">
                  <c:v>0.54254224225060554</c:v>
                </c:pt>
                <c:pt idx="550">
                  <c:v>0.54444209243508568</c:v>
                </c:pt>
                <c:pt idx="551">
                  <c:v>0.54772067695856075</c:v>
                </c:pt>
                <c:pt idx="552">
                  <c:v>0.55242107024994636</c:v>
                </c:pt>
                <c:pt idx="553">
                  <c:v>0.55368898678871037</c:v>
                </c:pt>
                <c:pt idx="554">
                  <c:v>0.55547238118451747</c:v>
                </c:pt>
                <c:pt idx="555">
                  <c:v>0.55668920249405762</c:v>
                </c:pt>
                <c:pt idx="556">
                  <c:v>0.55785962569418091</c:v>
                </c:pt>
                <c:pt idx="557">
                  <c:v>0.5606436568513572</c:v>
                </c:pt>
                <c:pt idx="558">
                  <c:v>0.55993187208618311</c:v>
                </c:pt>
                <c:pt idx="559">
                  <c:v>0.56107779060819229</c:v>
                </c:pt>
                <c:pt idx="560">
                  <c:v>0.56540090394558684</c:v>
                </c:pt>
                <c:pt idx="561">
                  <c:v>0.56686429801483651</c:v>
                </c:pt>
                <c:pt idx="562">
                  <c:v>0.56834979044814871</c:v>
                </c:pt>
                <c:pt idx="563">
                  <c:v>0.5712563593064377</c:v>
                </c:pt>
                <c:pt idx="564">
                  <c:v>0.57467980898284776</c:v>
                </c:pt>
                <c:pt idx="565">
                  <c:v>0.57815532661225588</c:v>
                </c:pt>
                <c:pt idx="566">
                  <c:v>0.57821256523419073</c:v>
                </c:pt>
                <c:pt idx="567">
                  <c:v>0.57837423307907021</c:v>
                </c:pt>
                <c:pt idx="568">
                  <c:v>0.573985770020082</c:v>
                </c:pt>
                <c:pt idx="569">
                  <c:v>0.57706005323155907</c:v>
                </c:pt>
                <c:pt idx="570">
                  <c:v>0.57978321700101842</c:v>
                </c:pt>
                <c:pt idx="571">
                  <c:v>0.58226361413279437</c:v>
                </c:pt>
                <c:pt idx="572">
                  <c:v>0.58528211712237621</c:v>
                </c:pt>
                <c:pt idx="573">
                  <c:v>0.58824684245797598</c:v>
                </c:pt>
                <c:pt idx="574">
                  <c:v>0.58995764230570902</c:v>
                </c:pt>
                <c:pt idx="575">
                  <c:v>0.59182753942542465</c:v>
                </c:pt>
                <c:pt idx="576">
                  <c:v>0.59500930955836628</c:v>
                </c:pt>
                <c:pt idx="577">
                  <c:v>0.59417610106464158</c:v>
                </c:pt>
                <c:pt idx="578">
                  <c:v>0.59081060487531301</c:v>
                </c:pt>
                <c:pt idx="579">
                  <c:v>0.59408803801718302</c:v>
                </c:pt>
                <c:pt idx="580">
                  <c:v>0.59792806314938829</c:v>
                </c:pt>
                <c:pt idx="581">
                  <c:v>0.60188532977336373</c:v>
                </c:pt>
                <c:pt idx="582">
                  <c:v>0.60285297417330863</c:v>
                </c:pt>
                <c:pt idx="583">
                  <c:v>0.60529966918381306</c:v>
                </c:pt>
                <c:pt idx="584">
                  <c:v>0.60635088240640489</c:v>
                </c:pt>
                <c:pt idx="585">
                  <c:v>0.60784109882580661</c:v>
                </c:pt>
                <c:pt idx="586">
                  <c:v>0.60942346784669144</c:v>
                </c:pt>
                <c:pt idx="587">
                  <c:v>0.6119752195719721</c:v>
                </c:pt>
                <c:pt idx="588">
                  <c:v>0.60972287053574425</c:v>
                </c:pt>
                <c:pt idx="589">
                  <c:v>0.61271329783144624</c:v>
                </c:pt>
                <c:pt idx="590">
                  <c:v>0.6159280706954382</c:v>
                </c:pt>
                <c:pt idx="591">
                  <c:v>0.61798151643288413</c:v>
                </c:pt>
                <c:pt idx="592">
                  <c:v>0.62018994172105779</c:v>
                </c:pt>
                <c:pt idx="593">
                  <c:v>0.61893143701573561</c:v>
                </c:pt>
                <c:pt idx="594">
                  <c:v>0.62318510276116656</c:v>
                </c:pt>
                <c:pt idx="595">
                  <c:v>0.62657055681570484</c:v>
                </c:pt>
                <c:pt idx="596">
                  <c:v>0.62950198928435497</c:v>
                </c:pt>
                <c:pt idx="597">
                  <c:v>0.63350281599283598</c:v>
                </c:pt>
                <c:pt idx="598">
                  <c:v>0.63178891478850563</c:v>
                </c:pt>
                <c:pt idx="599">
                  <c:v>0.63110996994794566</c:v>
                </c:pt>
                <c:pt idx="600">
                  <c:v>0.63383870338859671</c:v>
                </c:pt>
                <c:pt idx="601">
                  <c:v>0.63593680553851417</c:v>
                </c:pt>
                <c:pt idx="602">
                  <c:v>0.64187464665863048</c:v>
                </c:pt>
                <c:pt idx="603">
                  <c:v>0.64163140145813546</c:v>
                </c:pt>
                <c:pt idx="604">
                  <c:v>0.64456410477471138</c:v>
                </c:pt>
                <c:pt idx="605">
                  <c:v>0.64485461410633349</c:v>
                </c:pt>
                <c:pt idx="606">
                  <c:v>0.64818555961439261</c:v>
                </c:pt>
                <c:pt idx="607">
                  <c:v>0.65028632004588216</c:v>
                </c:pt>
                <c:pt idx="608">
                  <c:v>0.65028575447875148</c:v>
                </c:pt>
                <c:pt idx="609">
                  <c:v>0.65014297355657102</c:v>
                </c:pt>
                <c:pt idx="610">
                  <c:v>0.65248575150952448</c:v>
                </c:pt>
                <c:pt idx="611">
                  <c:v>0.65479130832327181</c:v>
                </c:pt>
                <c:pt idx="612">
                  <c:v>0.65996745545689295</c:v>
                </c:pt>
                <c:pt idx="613">
                  <c:v>0.66168137368099378</c:v>
                </c:pt>
                <c:pt idx="614">
                  <c:v>0.6636535431601237</c:v>
                </c:pt>
                <c:pt idx="615">
                  <c:v>0.66739302639619813</c:v>
                </c:pt>
                <c:pt idx="616">
                  <c:v>0.67148437480958234</c:v>
                </c:pt>
                <c:pt idx="617">
                  <c:v>0.67373485538100775</c:v>
                </c:pt>
                <c:pt idx="618">
                  <c:v>0.67296184360201561</c:v>
                </c:pt>
                <c:pt idx="619">
                  <c:v>0.67334727736581712</c:v>
                </c:pt>
                <c:pt idx="620">
                  <c:v>0.6733390546745307</c:v>
                </c:pt>
                <c:pt idx="621">
                  <c:v>0.6778608721167666</c:v>
                </c:pt>
                <c:pt idx="622">
                  <c:v>0.68043461169186625</c:v>
                </c:pt>
                <c:pt idx="623">
                  <c:v>0.68144349114088265</c:v>
                </c:pt>
                <c:pt idx="624">
                  <c:v>0.68556892268918845</c:v>
                </c:pt>
                <c:pt idx="625">
                  <c:v>0.68828559140510592</c:v>
                </c:pt>
                <c:pt idx="626">
                  <c:v>0.69125777348999606</c:v>
                </c:pt>
                <c:pt idx="627">
                  <c:v>0.69584662222699245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28608"/>
        <c:axId val="57030528"/>
      </c:scatterChart>
      <c:valAx>
        <c:axId val="57028608"/>
        <c:scaling>
          <c:orientation val="minMax"/>
          <c:max val="1.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</a:t>
                </a:r>
                <a:r>
                  <a:rPr lang="en-US" i="1">
                    <a:sym typeface="Symbol"/>
                  </a:rPr>
                  <a:t>T 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030528"/>
        <c:crosses val="autoZero"/>
        <c:crossBetween val="midCat"/>
        <c:majorUnit val="1"/>
        <c:minorUnit val="0.5"/>
      </c:valAx>
      <c:valAx>
        <c:axId val="57030528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02860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n-US" sz="900">
                <a:solidFill>
                  <a:schemeClr val="tx1"/>
                </a:solidFill>
              </a:rPr>
              <a:t>Eq. (A22)</a:t>
            </a:r>
          </a:p>
        </c:rich>
      </c:tx>
      <c:layout>
        <c:manualLayout>
          <c:xMode val="edge"/>
          <c:yMode val="edge"/>
          <c:x val="0.2835138888888889"/>
          <c:y val="0.69547619047619047"/>
        </c:manualLayout>
      </c:layout>
      <c:overlay val="0"/>
      <c:spPr>
        <a:solidFill>
          <a:schemeClr val="bg1"/>
        </a:solidFill>
      </c:spPr>
    </c:title>
    <c:autoTitleDeleted val="0"/>
    <c:plotArea>
      <c:layout>
        <c:manualLayout>
          <c:layoutTarget val="inner"/>
          <c:xMode val="edge"/>
          <c:yMode val="edge"/>
          <c:x val="0.18868011442417096"/>
          <c:y val="2.0325283938658928E-2"/>
          <c:w val="0.65633140197098006"/>
          <c:h val="0.83887579365079368"/>
        </c:manualLayout>
      </c:layout>
      <c:scatterChart>
        <c:scatterStyle val="lineMarker"/>
        <c:varyColors val="0"/>
        <c:ser>
          <c:idx val="0"/>
          <c:order val="0"/>
          <c:tx>
            <c:v>Eq. (A22)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1.4410066318448399E-2</c:v>
                </c:pt>
                <c:pt idx="1">
                  <c:v>1.0426904175085242E-2</c:v>
                </c:pt>
                <c:pt idx="2">
                  <c:v>8.8699668702565196E-3</c:v>
                </c:pt>
                <c:pt idx="3">
                  <c:v>8.0997414501520672E-3</c:v>
                </c:pt>
                <c:pt idx="4">
                  <c:v>7.7657322709023769E-3</c:v>
                </c:pt>
                <c:pt idx="5">
                  <c:v>7.7790697697040891E-3</c:v>
                </c:pt>
                <c:pt idx="6">
                  <c:v>7.8837693751424315E-3</c:v>
                </c:pt>
                <c:pt idx="7">
                  <c:v>8.175228083909452E-3</c:v>
                </c:pt>
                <c:pt idx="8">
                  <c:v>6.5345436132574703E-3</c:v>
                </c:pt>
                <c:pt idx="9">
                  <c:v>6.637370376654874E-3</c:v>
                </c:pt>
                <c:pt idx="10">
                  <c:v>6.7989088652668462E-3</c:v>
                </c:pt>
                <c:pt idx="11">
                  <c:v>6.892670013887727E-3</c:v>
                </c:pt>
                <c:pt idx="12">
                  <c:v>7.0216350965514865E-3</c:v>
                </c:pt>
                <c:pt idx="13">
                  <c:v>7.0452215435181393E-3</c:v>
                </c:pt>
                <c:pt idx="14">
                  <c:v>7.145685683973297E-3</c:v>
                </c:pt>
                <c:pt idx="15">
                  <c:v>7.1986532385016734E-3</c:v>
                </c:pt>
                <c:pt idx="16">
                  <c:v>7.2547864375477264E-3</c:v>
                </c:pt>
                <c:pt idx="17">
                  <c:v>7.1992961944545965E-3</c:v>
                </c:pt>
                <c:pt idx="18">
                  <c:v>6.1734815571976185E-3</c:v>
                </c:pt>
                <c:pt idx="19">
                  <c:v>6.233669698020341E-3</c:v>
                </c:pt>
                <c:pt idx="20">
                  <c:v>6.2687172316637282E-3</c:v>
                </c:pt>
                <c:pt idx="21">
                  <c:v>6.2533258979980792E-3</c:v>
                </c:pt>
                <c:pt idx="22">
                  <c:v>6.2138161538623643E-3</c:v>
                </c:pt>
                <c:pt idx="23">
                  <c:v>6.1440030874511655E-3</c:v>
                </c:pt>
                <c:pt idx="24">
                  <c:v>6.0064188978781255E-3</c:v>
                </c:pt>
                <c:pt idx="25">
                  <c:v>5.8384664587998736E-3</c:v>
                </c:pt>
                <c:pt idx="26">
                  <c:v>5.6665557646826438E-3</c:v>
                </c:pt>
                <c:pt idx="27">
                  <c:v>5.4555974733175765E-3</c:v>
                </c:pt>
                <c:pt idx="28">
                  <c:v>4.5561046958152831E-3</c:v>
                </c:pt>
                <c:pt idx="29">
                  <c:v>4.3413367169659071E-3</c:v>
                </c:pt>
                <c:pt idx="30">
                  <c:v>4.1092555164715626E-3</c:v>
                </c:pt>
                <c:pt idx="31">
                  <c:v>3.8970990404868597E-3</c:v>
                </c:pt>
                <c:pt idx="32">
                  <c:v>3.6616489067662723E-3</c:v>
                </c:pt>
                <c:pt idx="33">
                  <c:v>3.4514642572723311E-3</c:v>
                </c:pt>
                <c:pt idx="34">
                  <c:v>3.2514290510345487E-3</c:v>
                </c:pt>
                <c:pt idx="35">
                  <c:v>3.0674219805101812E-3</c:v>
                </c:pt>
                <c:pt idx="36">
                  <c:v>2.9082552763059866E-3</c:v>
                </c:pt>
                <c:pt idx="37">
                  <c:v>2.7476278862469689E-3</c:v>
                </c:pt>
                <c:pt idx="38">
                  <c:v>2.3379692670292438E-3</c:v>
                </c:pt>
                <c:pt idx="39">
                  <c:v>2.2243220403169155E-3</c:v>
                </c:pt>
                <c:pt idx="40">
                  <c:v>2.1229712671344994E-3</c:v>
                </c:pt>
                <c:pt idx="41">
                  <c:v>2.0328226221294175E-3</c:v>
                </c:pt>
                <c:pt idx="42">
                  <c:v>1.9531731663993209E-3</c:v>
                </c:pt>
                <c:pt idx="43">
                  <c:v>1.8819197141947072E-3</c:v>
                </c:pt>
                <c:pt idx="44">
                  <c:v>1.8163977391707344E-3</c:v>
                </c:pt>
                <c:pt idx="45">
                  <c:v>1.7576111331837033E-3</c:v>
                </c:pt>
                <c:pt idx="46">
                  <c:v>1.7020840744561734E-3</c:v>
                </c:pt>
                <c:pt idx="47">
                  <c:v>1.6523370141513347E-3</c:v>
                </c:pt>
                <c:pt idx="48">
                  <c:v>1.478565520173211E-3</c:v>
                </c:pt>
                <c:pt idx="49">
                  <c:v>1.4414891263402193E-3</c:v>
                </c:pt>
                <c:pt idx="50">
                  <c:v>1.4085852668922123E-3</c:v>
                </c:pt>
                <c:pt idx="51">
                  <c:v>1.3780236991714667E-3</c:v>
                </c:pt>
                <c:pt idx="52">
                  <c:v>1.3513067724798069E-3</c:v>
                </c:pt>
                <c:pt idx="53">
                  <c:v>1.3244900496671866E-3</c:v>
                </c:pt>
                <c:pt idx="54">
                  <c:v>1.3011050083899679E-3</c:v>
                </c:pt>
                <c:pt idx="55">
                  <c:v>1.2798351375939065E-3</c:v>
                </c:pt>
                <c:pt idx="56">
                  <c:v>1.2590547957539448E-3</c:v>
                </c:pt>
                <c:pt idx="57">
                  <c:v>1.2405795621188475E-3</c:v>
                </c:pt>
                <c:pt idx="58">
                  <c:v>1.1424536812150246E-3</c:v>
                </c:pt>
                <c:pt idx="59">
                  <c:v>1.1278821638220783E-3</c:v>
                </c:pt>
                <c:pt idx="60">
                  <c:v>1.1146894699617558E-3</c:v>
                </c:pt>
                <c:pt idx="61">
                  <c:v>1.104083993167699E-3</c:v>
                </c:pt>
                <c:pt idx="62">
                  <c:v>1.0937226746997885E-3</c:v>
                </c:pt>
                <c:pt idx="63">
                  <c:v>1.0838261192703661E-3</c:v>
                </c:pt>
                <c:pt idx="64">
                  <c:v>1.0757438527664628E-3</c:v>
                </c:pt>
                <c:pt idx="65">
                  <c:v>1.0678953157838764E-3</c:v>
                </c:pt>
                <c:pt idx="66">
                  <c:v>1.0610830130928801E-3</c:v>
                </c:pt>
                <c:pt idx="67">
                  <c:v>1.0554804716054779E-3</c:v>
                </c:pt>
                <c:pt idx="68">
                  <c:v>9.8943434992572292E-4</c:v>
                </c:pt>
                <c:pt idx="69">
                  <c:v>9.8567545069421555E-4</c:v>
                </c:pt>
                <c:pt idx="70">
                  <c:v>9.8199651740013441E-4</c:v>
                </c:pt>
                <c:pt idx="71">
                  <c:v>9.7909684550288021E-4</c:v>
                </c:pt>
                <c:pt idx="72">
                  <c:v>9.7666989834431332E-4</c:v>
                </c:pt>
                <c:pt idx="73">
                  <c:v>9.7419875396500513E-4</c:v>
                </c:pt>
                <c:pt idx="74">
                  <c:v>9.7251720352144145E-4</c:v>
                </c:pt>
                <c:pt idx="75">
                  <c:v>9.7207821955008896E-4</c:v>
                </c:pt>
                <c:pt idx="76">
                  <c:v>9.7273995883375678E-4</c:v>
                </c:pt>
                <c:pt idx="77">
                  <c:v>9.7227617331734431E-4</c:v>
                </c:pt>
                <c:pt idx="78">
                  <c:v>9.2176741104132672E-4</c:v>
                </c:pt>
                <c:pt idx="79">
                  <c:v>9.2201906250480184E-4</c:v>
                </c:pt>
                <c:pt idx="80">
                  <c:v>9.2260871778605921E-4</c:v>
                </c:pt>
                <c:pt idx="81">
                  <c:v>9.2311381840670995E-4</c:v>
                </c:pt>
                <c:pt idx="82">
                  <c:v>9.2474025547299504E-4</c:v>
                </c:pt>
                <c:pt idx="83">
                  <c:v>9.2675782759695099E-4</c:v>
                </c:pt>
                <c:pt idx="84">
                  <c:v>9.2926191465801601E-4</c:v>
                </c:pt>
                <c:pt idx="85">
                  <c:v>9.3204984648727557E-4</c:v>
                </c:pt>
                <c:pt idx="86">
                  <c:v>9.344105199971341E-4</c:v>
                </c:pt>
                <c:pt idx="87">
                  <c:v>9.3709069379424494E-4</c:v>
                </c:pt>
                <c:pt idx="88">
                  <c:v>8.9508969581232872E-4</c:v>
                </c:pt>
                <c:pt idx="89">
                  <c:v>8.9784207115353092E-4</c:v>
                </c:pt>
                <c:pt idx="90">
                  <c:v>9.0129393868312814E-4</c:v>
                </c:pt>
                <c:pt idx="91">
                  <c:v>9.0502780148430967E-4</c:v>
                </c:pt>
                <c:pt idx="92">
                  <c:v>9.0923817511914307E-4</c:v>
                </c:pt>
                <c:pt idx="93">
                  <c:v>9.137026005607736E-4</c:v>
                </c:pt>
                <c:pt idx="94">
                  <c:v>9.1778144282123519E-4</c:v>
                </c:pt>
                <c:pt idx="95">
                  <c:v>9.2172477607020198E-4</c:v>
                </c:pt>
                <c:pt idx="96">
                  <c:v>9.2664389298635608E-4</c:v>
                </c:pt>
                <c:pt idx="97">
                  <c:v>9.3103168894337254E-4</c:v>
                </c:pt>
                <c:pt idx="98">
                  <c:v>8.9438832112844033E-4</c:v>
                </c:pt>
                <c:pt idx="99">
                  <c:v>8.9895894130889199E-4</c:v>
                </c:pt>
                <c:pt idx="100">
                  <c:v>9.0364454715674688E-4</c:v>
                </c:pt>
                <c:pt idx="101">
                  <c:v>9.0935859706583924E-4</c:v>
                </c:pt>
                <c:pt idx="102">
                  <c:v>9.1455466877640062E-4</c:v>
                </c:pt>
                <c:pt idx="103">
                  <c:v>9.2016474257268944E-4</c:v>
                </c:pt>
                <c:pt idx="104">
                  <c:v>9.253643685792701E-4</c:v>
                </c:pt>
                <c:pt idx="105">
                  <c:v>9.3108384311769944E-4</c:v>
                </c:pt>
                <c:pt idx="106">
                  <c:v>9.3636389340603129E-4</c:v>
                </c:pt>
                <c:pt idx="107">
                  <c:v>9.4157912444009463E-4</c:v>
                </c:pt>
                <c:pt idx="108">
                  <c:v>9.0883021374514085E-4</c:v>
                </c:pt>
                <c:pt idx="109">
                  <c:v>9.1461738676429176E-4</c:v>
                </c:pt>
                <c:pt idx="110">
                  <c:v>9.2037409584181621E-4</c:v>
                </c:pt>
                <c:pt idx="111">
                  <c:v>9.2627612883337113E-4</c:v>
                </c:pt>
                <c:pt idx="112">
                  <c:v>9.3285569436060939E-4</c:v>
                </c:pt>
                <c:pt idx="113">
                  <c:v>9.3885249430868936E-4</c:v>
                </c:pt>
                <c:pt idx="114">
                  <c:v>9.4463224023646033E-4</c:v>
                </c:pt>
                <c:pt idx="115">
                  <c:v>9.5069038506587959E-4</c:v>
                </c:pt>
                <c:pt idx="116">
                  <c:v>9.5651771923392604E-4</c:v>
                </c:pt>
                <c:pt idx="117">
                  <c:v>9.6264846414929829E-4</c:v>
                </c:pt>
                <c:pt idx="118">
                  <c:v>9.3268658110618331E-4</c:v>
                </c:pt>
                <c:pt idx="119">
                  <c:v>9.3886243878019322E-4</c:v>
                </c:pt>
                <c:pt idx="120">
                  <c:v>9.4553051833775128E-4</c:v>
                </c:pt>
                <c:pt idx="121">
                  <c:v>9.5204949615008776E-4</c:v>
                </c:pt>
                <c:pt idx="122">
                  <c:v>9.5876492948487521E-4</c:v>
                </c:pt>
                <c:pt idx="123">
                  <c:v>9.6565686364089205E-4</c:v>
                </c:pt>
                <c:pt idx="124">
                  <c:v>9.7164173306394893E-4</c:v>
                </c:pt>
                <c:pt idx="125">
                  <c:v>9.783374974014227E-4</c:v>
                </c:pt>
                <c:pt idx="126">
                  <c:v>9.8467333824540232E-4</c:v>
                </c:pt>
                <c:pt idx="127">
                  <c:v>9.9293544418424117E-4</c:v>
                </c:pt>
                <c:pt idx="128">
                  <c:v>9.6415154834076755E-4</c:v>
                </c:pt>
                <c:pt idx="129">
                  <c:v>9.7160480981165799E-4</c:v>
                </c:pt>
                <c:pt idx="130">
                  <c:v>9.7815975231976869E-4</c:v>
                </c:pt>
                <c:pt idx="131">
                  <c:v>9.8499549303129701E-4</c:v>
                </c:pt>
                <c:pt idx="132">
                  <c:v>9.9174829754787152E-4</c:v>
                </c:pt>
                <c:pt idx="133">
                  <c:v>9.9847468100554108E-4</c:v>
                </c:pt>
                <c:pt idx="134">
                  <c:v>1.0061492871956241E-3</c:v>
                </c:pt>
                <c:pt idx="135">
                  <c:v>1.0134743473969327E-3</c:v>
                </c:pt>
                <c:pt idx="136">
                  <c:v>1.0211470960044833E-3</c:v>
                </c:pt>
                <c:pt idx="137">
                  <c:v>1.0292370784436855E-3</c:v>
                </c:pt>
                <c:pt idx="138">
                  <c:v>1.002387582353123E-3</c:v>
                </c:pt>
                <c:pt idx="139">
                  <c:v>1.0095628164219844E-3</c:v>
                </c:pt>
                <c:pt idx="140">
                  <c:v>1.0170567214672023E-3</c:v>
                </c:pt>
                <c:pt idx="141">
                  <c:v>1.0242864485366346E-3</c:v>
                </c:pt>
                <c:pt idx="142">
                  <c:v>1.0323420362968608E-3</c:v>
                </c:pt>
                <c:pt idx="143">
                  <c:v>1.0401302203668045E-3</c:v>
                </c:pt>
                <c:pt idx="144">
                  <c:v>1.0481297508617901E-3</c:v>
                </c:pt>
                <c:pt idx="145">
                  <c:v>1.0558707310579353E-3</c:v>
                </c:pt>
                <c:pt idx="146">
                  <c:v>1.0634147372804088E-3</c:v>
                </c:pt>
                <c:pt idx="147">
                  <c:v>1.0712458938302387E-3</c:v>
                </c:pt>
                <c:pt idx="148">
                  <c:v>1.0449535919425331E-3</c:v>
                </c:pt>
                <c:pt idx="149">
                  <c:v>1.0535777769527044E-3</c:v>
                </c:pt>
                <c:pt idx="150">
                  <c:v>1.060964913279032E-3</c:v>
                </c:pt>
                <c:pt idx="151">
                  <c:v>1.069144523862721E-3</c:v>
                </c:pt>
                <c:pt idx="152">
                  <c:v>1.0763036521091493E-3</c:v>
                </c:pt>
                <c:pt idx="153">
                  <c:v>1.084277523033286E-3</c:v>
                </c:pt>
                <c:pt idx="154">
                  <c:v>1.093510082259999E-3</c:v>
                </c:pt>
                <c:pt idx="155">
                  <c:v>1.1020326418551003E-3</c:v>
                </c:pt>
                <c:pt idx="156">
                  <c:v>1.1100991102941497E-3</c:v>
                </c:pt>
                <c:pt idx="157">
                  <c:v>1.1174861463047446E-3</c:v>
                </c:pt>
                <c:pt idx="158">
                  <c:v>1.0914704437314652E-3</c:v>
                </c:pt>
                <c:pt idx="159">
                  <c:v>1.0992980486754719E-3</c:v>
                </c:pt>
                <c:pt idx="160">
                  <c:v>1.1073480145135518E-3</c:v>
                </c:pt>
                <c:pt idx="161">
                  <c:v>1.1140063938310486E-3</c:v>
                </c:pt>
                <c:pt idx="162">
                  <c:v>1.1222710581014037E-3</c:v>
                </c:pt>
                <c:pt idx="163">
                  <c:v>1.1296050187994473E-3</c:v>
                </c:pt>
                <c:pt idx="164">
                  <c:v>1.1388219129685581E-3</c:v>
                </c:pt>
                <c:pt idx="165">
                  <c:v>1.1481911607444325E-3</c:v>
                </c:pt>
                <c:pt idx="166">
                  <c:v>1.1555386236967364E-3</c:v>
                </c:pt>
                <c:pt idx="167">
                  <c:v>1.1632943867045677E-3</c:v>
                </c:pt>
                <c:pt idx="168">
                  <c:v>1.1377044812386919E-3</c:v>
                </c:pt>
                <c:pt idx="169">
                  <c:v>1.1453374564239238E-3</c:v>
                </c:pt>
                <c:pt idx="170">
                  <c:v>1.152643056146837E-3</c:v>
                </c:pt>
                <c:pt idx="171">
                  <c:v>1.1602101463463624E-3</c:v>
                </c:pt>
                <c:pt idx="172">
                  <c:v>1.1673351661970004E-3</c:v>
                </c:pt>
                <c:pt idx="173">
                  <c:v>1.1753057699414998E-3</c:v>
                </c:pt>
                <c:pt idx="174">
                  <c:v>1.1829351395992497E-3</c:v>
                </c:pt>
                <c:pt idx="175">
                  <c:v>1.1917854526409231E-3</c:v>
                </c:pt>
                <c:pt idx="176">
                  <c:v>1.1999751144564183E-3</c:v>
                </c:pt>
                <c:pt idx="177">
                  <c:v>1.2084774940987998E-3</c:v>
                </c:pt>
                <c:pt idx="178">
                  <c:v>1.1840046188530292E-3</c:v>
                </c:pt>
                <c:pt idx="179">
                  <c:v>1.1904327262303308E-3</c:v>
                </c:pt>
                <c:pt idx="180">
                  <c:v>1.1988654997110975E-3</c:v>
                </c:pt>
                <c:pt idx="181">
                  <c:v>1.2061654740313686E-3</c:v>
                </c:pt>
                <c:pt idx="182">
                  <c:v>1.2148993740962268E-3</c:v>
                </c:pt>
                <c:pt idx="183">
                  <c:v>1.2231348706560898E-3</c:v>
                </c:pt>
                <c:pt idx="184">
                  <c:v>1.2314696033020041E-3</c:v>
                </c:pt>
                <c:pt idx="185">
                  <c:v>1.239181170062697E-3</c:v>
                </c:pt>
                <c:pt idx="186">
                  <c:v>1.2463508091908005E-3</c:v>
                </c:pt>
                <c:pt idx="187">
                  <c:v>1.2541792498157428E-3</c:v>
                </c:pt>
                <c:pt idx="188">
                  <c:v>1.2311794326547321E-3</c:v>
                </c:pt>
                <c:pt idx="189">
                  <c:v>1.2393092081486676E-3</c:v>
                </c:pt>
                <c:pt idx="190">
                  <c:v>1.2476748388473026E-3</c:v>
                </c:pt>
                <c:pt idx="191">
                  <c:v>1.2564336859225609E-3</c:v>
                </c:pt>
                <c:pt idx="192">
                  <c:v>1.2645801093160928E-3</c:v>
                </c:pt>
                <c:pt idx="193">
                  <c:v>1.2725512394887249E-3</c:v>
                </c:pt>
                <c:pt idx="194">
                  <c:v>1.2809015772381688E-3</c:v>
                </c:pt>
                <c:pt idx="195">
                  <c:v>1.2901305699933175E-3</c:v>
                </c:pt>
                <c:pt idx="196">
                  <c:v>1.2990693514612767E-3</c:v>
                </c:pt>
                <c:pt idx="197">
                  <c:v>1.3081093565489533E-3</c:v>
                </c:pt>
                <c:pt idx="198">
                  <c:v>1.2836270676075826E-3</c:v>
                </c:pt>
                <c:pt idx="199">
                  <c:v>1.2913994185149151E-3</c:v>
                </c:pt>
                <c:pt idx="200">
                  <c:v>1.3012029202898981E-3</c:v>
                </c:pt>
                <c:pt idx="201">
                  <c:v>1.3098317028752773E-3</c:v>
                </c:pt>
                <c:pt idx="202">
                  <c:v>1.3177916088061173E-3</c:v>
                </c:pt>
                <c:pt idx="203">
                  <c:v>1.3261967456803313E-3</c:v>
                </c:pt>
                <c:pt idx="204">
                  <c:v>1.3343503922208992E-3</c:v>
                </c:pt>
                <c:pt idx="205">
                  <c:v>1.3431593032299024E-3</c:v>
                </c:pt>
                <c:pt idx="206">
                  <c:v>1.3526105997537371E-3</c:v>
                </c:pt>
                <c:pt idx="207">
                  <c:v>1.3615990711097522E-3</c:v>
                </c:pt>
                <c:pt idx="208">
                  <c:v>1.3380779198377908E-3</c:v>
                </c:pt>
                <c:pt idx="209">
                  <c:v>1.3483565380636615E-3</c:v>
                </c:pt>
                <c:pt idx="210">
                  <c:v>1.3569918566466511E-3</c:v>
                </c:pt>
                <c:pt idx="211">
                  <c:v>1.3655769669903663E-3</c:v>
                </c:pt>
                <c:pt idx="212">
                  <c:v>1.3751831039056531E-3</c:v>
                </c:pt>
                <c:pt idx="213">
                  <c:v>1.3836942481749053E-3</c:v>
                </c:pt>
                <c:pt idx="214">
                  <c:v>1.3924399024821418E-3</c:v>
                </c:pt>
                <c:pt idx="215">
                  <c:v>1.401682190616726E-3</c:v>
                </c:pt>
                <c:pt idx="216">
                  <c:v>1.410855703187087E-3</c:v>
                </c:pt>
                <c:pt idx="217">
                  <c:v>1.419195865621311E-3</c:v>
                </c:pt>
                <c:pt idx="218">
                  <c:v>1.3973361635070559E-3</c:v>
                </c:pt>
                <c:pt idx="219">
                  <c:v>1.4065903030343969E-3</c:v>
                </c:pt>
                <c:pt idx="220">
                  <c:v>1.415497152956136E-3</c:v>
                </c:pt>
                <c:pt idx="221">
                  <c:v>1.4242663320145088E-3</c:v>
                </c:pt>
                <c:pt idx="222">
                  <c:v>1.4334589009376425E-3</c:v>
                </c:pt>
                <c:pt idx="223">
                  <c:v>1.4420402584841069E-3</c:v>
                </c:pt>
                <c:pt idx="224">
                  <c:v>1.4507024250041511E-3</c:v>
                </c:pt>
                <c:pt idx="225">
                  <c:v>1.4589912452882855E-3</c:v>
                </c:pt>
                <c:pt idx="226">
                  <c:v>1.4685563070907352E-3</c:v>
                </c:pt>
                <c:pt idx="227">
                  <c:v>1.4790708894594573E-3</c:v>
                </c:pt>
                <c:pt idx="228">
                  <c:v>1.4576349676282362E-3</c:v>
                </c:pt>
                <c:pt idx="229">
                  <c:v>1.4644180651910259E-3</c:v>
                </c:pt>
                <c:pt idx="230">
                  <c:v>1.4747475408475913E-3</c:v>
                </c:pt>
                <c:pt idx="231">
                  <c:v>1.483961995231509E-3</c:v>
                </c:pt>
                <c:pt idx="232">
                  <c:v>1.4926242695725552E-3</c:v>
                </c:pt>
                <c:pt idx="233">
                  <c:v>1.5006972347478941E-3</c:v>
                </c:pt>
                <c:pt idx="234">
                  <c:v>1.5098021751334578E-3</c:v>
                </c:pt>
                <c:pt idx="235">
                  <c:v>1.5185959143516781E-3</c:v>
                </c:pt>
                <c:pt idx="236">
                  <c:v>1.5266319758528606E-3</c:v>
                </c:pt>
                <c:pt idx="237">
                  <c:v>1.5346145628669196E-3</c:v>
                </c:pt>
                <c:pt idx="238">
                  <c:v>1.5132845605515459E-3</c:v>
                </c:pt>
                <c:pt idx="239">
                  <c:v>1.5228192973249604E-3</c:v>
                </c:pt>
                <c:pt idx="240">
                  <c:v>1.5325933656828109E-3</c:v>
                </c:pt>
                <c:pt idx="241">
                  <c:v>1.5419793082624312E-3</c:v>
                </c:pt>
                <c:pt idx="242">
                  <c:v>1.551063722444254E-3</c:v>
                </c:pt>
                <c:pt idx="243">
                  <c:v>1.5595040216564097E-3</c:v>
                </c:pt>
                <c:pt idx="244">
                  <c:v>1.5700107559607141E-3</c:v>
                </c:pt>
                <c:pt idx="245">
                  <c:v>1.5796573965220927E-3</c:v>
                </c:pt>
                <c:pt idx="246">
                  <c:v>1.5888411968408766E-3</c:v>
                </c:pt>
                <c:pt idx="247">
                  <c:v>1.5983681778383625E-3</c:v>
                </c:pt>
                <c:pt idx="248">
                  <c:v>1.5757940536057049E-3</c:v>
                </c:pt>
                <c:pt idx="249">
                  <c:v>1.5851638681665804E-3</c:v>
                </c:pt>
                <c:pt idx="250">
                  <c:v>1.5965268939407038E-3</c:v>
                </c:pt>
                <c:pt idx="251">
                  <c:v>1.604298079994437E-3</c:v>
                </c:pt>
                <c:pt idx="252">
                  <c:v>1.6143901185360909E-3</c:v>
                </c:pt>
                <c:pt idx="253">
                  <c:v>1.6224498961739191E-3</c:v>
                </c:pt>
                <c:pt idx="254">
                  <c:v>1.6309925901968694E-3</c:v>
                </c:pt>
                <c:pt idx="255">
                  <c:v>1.6397294135702108E-3</c:v>
                </c:pt>
                <c:pt idx="256">
                  <c:v>1.6492834891833528E-3</c:v>
                </c:pt>
                <c:pt idx="257">
                  <c:v>1.6587572666160967E-3</c:v>
                </c:pt>
                <c:pt idx="258">
                  <c:v>1.6361771575074116E-3</c:v>
                </c:pt>
                <c:pt idx="259">
                  <c:v>1.6454073926438009E-3</c:v>
                </c:pt>
                <c:pt idx="260">
                  <c:v>1.6546100227941894E-3</c:v>
                </c:pt>
                <c:pt idx="261">
                  <c:v>1.6632602609212592E-3</c:v>
                </c:pt>
                <c:pt idx="262">
                  <c:v>1.6724281928583594E-3</c:v>
                </c:pt>
                <c:pt idx="263">
                  <c:v>1.6830732724492923E-3</c:v>
                </c:pt>
                <c:pt idx="264">
                  <c:v>1.6927463469012056E-3</c:v>
                </c:pt>
                <c:pt idx="265">
                  <c:v>1.7017897870091703E-3</c:v>
                </c:pt>
                <c:pt idx="266">
                  <c:v>1.7127282384918835E-3</c:v>
                </c:pt>
                <c:pt idx="267">
                  <c:v>1.7230859154220995E-3</c:v>
                </c:pt>
                <c:pt idx="268">
                  <c:v>1.699200254608763E-3</c:v>
                </c:pt>
                <c:pt idx="269">
                  <c:v>1.706603967460381E-3</c:v>
                </c:pt>
                <c:pt idx="270">
                  <c:v>1.7162640438354465E-3</c:v>
                </c:pt>
                <c:pt idx="271">
                  <c:v>1.726389745673065E-3</c:v>
                </c:pt>
                <c:pt idx="272">
                  <c:v>1.7364053751257524E-3</c:v>
                </c:pt>
                <c:pt idx="273">
                  <c:v>1.7480178891721089E-3</c:v>
                </c:pt>
                <c:pt idx="274">
                  <c:v>1.7592181842765464E-3</c:v>
                </c:pt>
                <c:pt idx="275">
                  <c:v>1.7690108266323712E-3</c:v>
                </c:pt>
                <c:pt idx="276">
                  <c:v>1.7808874080699683E-3</c:v>
                </c:pt>
                <c:pt idx="277">
                  <c:v>1.7902672828213446E-3</c:v>
                </c:pt>
                <c:pt idx="278">
                  <c:v>1.7662007585003414E-3</c:v>
                </c:pt>
                <c:pt idx="279">
                  <c:v>1.7765371466571039E-3</c:v>
                </c:pt>
                <c:pt idx="280">
                  <c:v>1.785366199865172E-3</c:v>
                </c:pt>
                <c:pt idx="281">
                  <c:v>1.7951124587684971E-3</c:v>
                </c:pt>
                <c:pt idx="282">
                  <c:v>1.8045403259569382E-3</c:v>
                </c:pt>
                <c:pt idx="283">
                  <c:v>1.8164700749260002E-3</c:v>
                </c:pt>
                <c:pt idx="284">
                  <c:v>1.8259600332192272E-3</c:v>
                </c:pt>
                <c:pt idx="285">
                  <c:v>1.8355402070656052E-3</c:v>
                </c:pt>
                <c:pt idx="286">
                  <c:v>1.8458068158217667E-3</c:v>
                </c:pt>
                <c:pt idx="287">
                  <c:v>1.8547302104183719E-3</c:v>
                </c:pt>
                <c:pt idx="288">
                  <c:v>1.8329716530027021E-3</c:v>
                </c:pt>
                <c:pt idx="289">
                  <c:v>1.8442000469867594E-3</c:v>
                </c:pt>
                <c:pt idx="290">
                  <c:v>1.8539921226632772E-3</c:v>
                </c:pt>
                <c:pt idx="291">
                  <c:v>1.8641044974873834E-3</c:v>
                </c:pt>
                <c:pt idx="292">
                  <c:v>1.8755774987805969E-3</c:v>
                </c:pt>
                <c:pt idx="293">
                  <c:v>1.8868180951591494E-3</c:v>
                </c:pt>
                <c:pt idx="294">
                  <c:v>1.8948127937479743E-3</c:v>
                </c:pt>
                <c:pt idx="295">
                  <c:v>1.906563808814588E-3</c:v>
                </c:pt>
                <c:pt idx="296">
                  <c:v>1.9144203101996138E-3</c:v>
                </c:pt>
                <c:pt idx="297">
                  <c:v>1.9244415952898283E-3</c:v>
                </c:pt>
                <c:pt idx="298">
                  <c:v>1.9017677679040194E-3</c:v>
                </c:pt>
                <c:pt idx="299">
                  <c:v>1.9129491954598327E-3</c:v>
                </c:pt>
                <c:pt idx="300">
                  <c:v>1.9224332318674498E-3</c:v>
                </c:pt>
                <c:pt idx="301">
                  <c:v>1.9312167912753956E-3</c:v>
                </c:pt>
                <c:pt idx="302">
                  <c:v>1.9415592199156608E-3</c:v>
                </c:pt>
                <c:pt idx="303">
                  <c:v>1.9538137045688238E-3</c:v>
                </c:pt>
                <c:pt idx="304">
                  <c:v>1.9626732595640337E-3</c:v>
                </c:pt>
                <c:pt idx="305">
                  <c:v>1.9735898350198618E-3</c:v>
                </c:pt>
                <c:pt idx="306">
                  <c:v>1.9839462186011501E-3</c:v>
                </c:pt>
                <c:pt idx="307">
                  <c:v>1.9947314529707642E-3</c:v>
                </c:pt>
                <c:pt idx="308">
                  <c:v>1.972986650453945E-3</c:v>
                </c:pt>
                <c:pt idx="309">
                  <c:v>1.9820033679608467E-3</c:v>
                </c:pt>
                <c:pt idx="310">
                  <c:v>1.9930187347764815E-3</c:v>
                </c:pt>
                <c:pt idx="311">
                  <c:v>2.0022016199525198E-3</c:v>
                </c:pt>
                <c:pt idx="312">
                  <c:v>2.0148107450009582E-3</c:v>
                </c:pt>
                <c:pt idx="313">
                  <c:v>2.025414231716989E-3</c:v>
                </c:pt>
                <c:pt idx="314">
                  <c:v>2.0359986954905092E-3</c:v>
                </c:pt>
                <c:pt idx="315">
                  <c:v>2.0484776886704661E-3</c:v>
                </c:pt>
                <c:pt idx="316">
                  <c:v>2.0570165255806958E-3</c:v>
                </c:pt>
                <c:pt idx="317">
                  <c:v>2.0694826099696951E-3</c:v>
                </c:pt>
                <c:pt idx="318">
                  <c:v>2.0493758289249525E-3</c:v>
                </c:pt>
                <c:pt idx="319">
                  <c:v>2.0595114852697224E-3</c:v>
                </c:pt>
                <c:pt idx="320">
                  <c:v>2.070430446710533E-3</c:v>
                </c:pt>
                <c:pt idx="321">
                  <c:v>2.0824266381038068E-3</c:v>
                </c:pt>
                <c:pt idx="322">
                  <c:v>2.0932797559737688E-3</c:v>
                </c:pt>
                <c:pt idx="323">
                  <c:v>2.101743747970623E-3</c:v>
                </c:pt>
                <c:pt idx="324">
                  <c:v>2.1135779404160382E-3</c:v>
                </c:pt>
                <c:pt idx="325">
                  <c:v>2.1240320317080469E-3</c:v>
                </c:pt>
                <c:pt idx="326">
                  <c:v>2.13586170667055E-3</c:v>
                </c:pt>
                <c:pt idx="327">
                  <c:v>2.1442216443785089E-3</c:v>
                </c:pt>
                <c:pt idx="328">
                  <c:v>2.1227199336943709E-3</c:v>
                </c:pt>
                <c:pt idx="329">
                  <c:v>2.1337475894393316E-3</c:v>
                </c:pt>
                <c:pt idx="330">
                  <c:v>2.1454718406873291E-3</c:v>
                </c:pt>
                <c:pt idx="331">
                  <c:v>2.1569074357990154E-3</c:v>
                </c:pt>
                <c:pt idx="332">
                  <c:v>2.1694874678990883E-3</c:v>
                </c:pt>
                <c:pt idx="333">
                  <c:v>2.1825780275639686E-3</c:v>
                </c:pt>
                <c:pt idx="334">
                  <c:v>2.1931055117033809E-3</c:v>
                </c:pt>
                <c:pt idx="335">
                  <c:v>2.2012248848133071E-3</c:v>
                </c:pt>
                <c:pt idx="336">
                  <c:v>2.2099219662926146E-3</c:v>
                </c:pt>
                <c:pt idx="337">
                  <c:v>2.2163925865474883E-3</c:v>
                </c:pt>
                <c:pt idx="338">
                  <c:v>2.1913744294577162E-3</c:v>
                </c:pt>
                <c:pt idx="339">
                  <c:v>2.2045911734064451E-3</c:v>
                </c:pt>
                <c:pt idx="340">
                  <c:v>2.2177092767028074E-3</c:v>
                </c:pt>
                <c:pt idx="341">
                  <c:v>2.2298584414132783E-3</c:v>
                </c:pt>
                <c:pt idx="342">
                  <c:v>2.2422359799391181E-3</c:v>
                </c:pt>
                <c:pt idx="343">
                  <c:v>2.2546130511949297E-3</c:v>
                </c:pt>
                <c:pt idx="344">
                  <c:v>2.2634893447887462E-3</c:v>
                </c:pt>
                <c:pt idx="345">
                  <c:v>2.2750530745209714E-3</c:v>
                </c:pt>
                <c:pt idx="346">
                  <c:v>2.2842922412285829E-3</c:v>
                </c:pt>
                <c:pt idx="347">
                  <c:v>2.2952813826387104E-3</c:v>
                </c:pt>
                <c:pt idx="348">
                  <c:v>2.2706340031758642E-3</c:v>
                </c:pt>
                <c:pt idx="349">
                  <c:v>2.2829732503526841E-3</c:v>
                </c:pt>
                <c:pt idx="350">
                  <c:v>2.2956959134781368E-3</c:v>
                </c:pt>
                <c:pt idx="351">
                  <c:v>2.3093402380695571E-3</c:v>
                </c:pt>
                <c:pt idx="352">
                  <c:v>2.3209462706960007E-3</c:v>
                </c:pt>
                <c:pt idx="353">
                  <c:v>2.334064434589046E-3</c:v>
                </c:pt>
                <c:pt idx="354">
                  <c:v>2.3454484921023367E-3</c:v>
                </c:pt>
                <c:pt idx="355">
                  <c:v>2.3527354650422667E-3</c:v>
                </c:pt>
                <c:pt idx="356">
                  <c:v>2.3659588520053799E-3</c:v>
                </c:pt>
                <c:pt idx="357">
                  <c:v>2.3756398657249099E-3</c:v>
                </c:pt>
                <c:pt idx="358">
                  <c:v>2.3524924754124233E-3</c:v>
                </c:pt>
                <c:pt idx="359">
                  <c:v>2.3654708028445163E-3</c:v>
                </c:pt>
                <c:pt idx="360">
                  <c:v>2.3779640959529949E-3</c:v>
                </c:pt>
                <c:pt idx="361">
                  <c:v>2.3894059943698519E-3</c:v>
                </c:pt>
                <c:pt idx="362">
                  <c:v>2.4026144256715579E-3</c:v>
                </c:pt>
                <c:pt idx="363">
                  <c:v>2.4128280135112343E-3</c:v>
                </c:pt>
                <c:pt idx="364">
                  <c:v>2.428882328315474E-3</c:v>
                </c:pt>
                <c:pt idx="365">
                  <c:v>2.439847008763481E-3</c:v>
                </c:pt>
                <c:pt idx="366">
                  <c:v>2.4500514612175715E-3</c:v>
                </c:pt>
                <c:pt idx="367">
                  <c:v>2.4629199214777518E-3</c:v>
                </c:pt>
                <c:pt idx="368">
                  <c:v>2.4380103997606243E-3</c:v>
                </c:pt>
                <c:pt idx="369">
                  <c:v>2.4481425124639306E-3</c:v>
                </c:pt>
                <c:pt idx="370">
                  <c:v>2.460937343586021E-3</c:v>
                </c:pt>
                <c:pt idx="371">
                  <c:v>2.4736763864556064E-3</c:v>
                </c:pt>
                <c:pt idx="372">
                  <c:v>2.486818032905552E-3</c:v>
                </c:pt>
                <c:pt idx="373">
                  <c:v>2.4979051840080856E-3</c:v>
                </c:pt>
                <c:pt idx="374">
                  <c:v>2.5096107076071909E-3</c:v>
                </c:pt>
                <c:pt idx="375">
                  <c:v>2.521330314426379E-3</c:v>
                </c:pt>
                <c:pt idx="376">
                  <c:v>2.5349313972136992E-3</c:v>
                </c:pt>
                <c:pt idx="377">
                  <c:v>2.5431798267963276E-3</c:v>
                </c:pt>
                <c:pt idx="378">
                  <c:v>2.5213319284186275E-3</c:v>
                </c:pt>
                <c:pt idx="379">
                  <c:v>2.5311600339838142E-3</c:v>
                </c:pt>
                <c:pt idx="380">
                  <c:v>2.5434992632227707E-3</c:v>
                </c:pt>
                <c:pt idx="381">
                  <c:v>2.5569313815356387E-3</c:v>
                </c:pt>
                <c:pt idx="382">
                  <c:v>2.5720746048983134E-3</c:v>
                </c:pt>
                <c:pt idx="383">
                  <c:v>2.5865693624560859E-3</c:v>
                </c:pt>
                <c:pt idx="384">
                  <c:v>2.6022363043718922E-3</c:v>
                </c:pt>
                <c:pt idx="385">
                  <c:v>2.6112688480246747E-3</c:v>
                </c:pt>
                <c:pt idx="386">
                  <c:v>2.6243158254603285E-3</c:v>
                </c:pt>
                <c:pt idx="387">
                  <c:v>2.635330949264669E-3</c:v>
                </c:pt>
                <c:pt idx="388">
                  <c:v>2.6125847014962372E-3</c:v>
                </c:pt>
                <c:pt idx="389">
                  <c:v>2.6238935478756849E-3</c:v>
                </c:pt>
                <c:pt idx="390">
                  <c:v>2.6349037281347535E-3</c:v>
                </c:pt>
                <c:pt idx="391">
                  <c:v>2.6446901215453982E-3</c:v>
                </c:pt>
                <c:pt idx="392">
                  <c:v>2.6542228116854883E-3</c:v>
                </c:pt>
                <c:pt idx="393">
                  <c:v>2.667129660217885E-3</c:v>
                </c:pt>
                <c:pt idx="394">
                  <c:v>2.6794059847431158E-3</c:v>
                </c:pt>
                <c:pt idx="395">
                  <c:v>2.6919158566133328E-3</c:v>
                </c:pt>
                <c:pt idx="396">
                  <c:v>2.7052875630453077E-3</c:v>
                </c:pt>
                <c:pt idx="397">
                  <c:v>2.7194972189518774E-3</c:v>
                </c:pt>
                <c:pt idx="398">
                  <c:v>2.6960854253249089E-3</c:v>
                </c:pt>
                <c:pt idx="399">
                  <c:v>2.7075512497292519E-3</c:v>
                </c:pt>
                <c:pt idx="400">
                  <c:v>2.7213052011136173E-3</c:v>
                </c:pt>
                <c:pt idx="401">
                  <c:v>2.7319318820265177E-3</c:v>
                </c:pt>
                <c:pt idx="402">
                  <c:v>2.7445528033487421E-3</c:v>
                </c:pt>
                <c:pt idx="403">
                  <c:v>2.757022555852797E-3</c:v>
                </c:pt>
                <c:pt idx="404">
                  <c:v>2.7706506742062424E-3</c:v>
                </c:pt>
                <c:pt idx="405">
                  <c:v>2.7812080202614746E-3</c:v>
                </c:pt>
                <c:pt idx="406">
                  <c:v>2.7961295033861375E-3</c:v>
                </c:pt>
                <c:pt idx="407">
                  <c:v>2.8097529894503663E-3</c:v>
                </c:pt>
                <c:pt idx="408">
                  <c:v>2.7863055540459395E-3</c:v>
                </c:pt>
                <c:pt idx="409">
                  <c:v>2.7981440923467585E-3</c:v>
                </c:pt>
                <c:pt idx="410">
                  <c:v>2.8081787844993064E-3</c:v>
                </c:pt>
                <c:pt idx="411">
                  <c:v>2.8210768186732425E-3</c:v>
                </c:pt>
                <c:pt idx="412">
                  <c:v>2.8368745322744967E-3</c:v>
                </c:pt>
                <c:pt idx="413">
                  <c:v>2.8475201767006373E-3</c:v>
                </c:pt>
                <c:pt idx="414">
                  <c:v>2.8674482903979933E-3</c:v>
                </c:pt>
                <c:pt idx="415">
                  <c:v>2.8827704329680653E-3</c:v>
                </c:pt>
                <c:pt idx="416">
                  <c:v>2.9001787047078058E-3</c:v>
                </c:pt>
                <c:pt idx="417">
                  <c:v>2.9107244166132334E-3</c:v>
                </c:pt>
                <c:pt idx="418">
                  <c:v>2.8890961375654914E-3</c:v>
                </c:pt>
                <c:pt idx="419">
                  <c:v>2.894964833235637E-3</c:v>
                </c:pt>
                <c:pt idx="420">
                  <c:v>2.9092357301778128E-3</c:v>
                </c:pt>
                <c:pt idx="421">
                  <c:v>2.9215405866410949E-3</c:v>
                </c:pt>
                <c:pt idx="422">
                  <c:v>2.9368315646796858E-3</c:v>
                </c:pt>
                <c:pt idx="423">
                  <c:v>2.949784679316011E-3</c:v>
                </c:pt>
                <c:pt idx="424">
                  <c:v>2.9643553009638998E-3</c:v>
                </c:pt>
                <c:pt idx="425">
                  <c:v>2.9798908428576762E-3</c:v>
                </c:pt>
                <c:pt idx="426">
                  <c:v>2.9923452267951256E-3</c:v>
                </c:pt>
                <c:pt idx="427">
                  <c:v>3.0074331830402977E-3</c:v>
                </c:pt>
                <c:pt idx="428">
                  <c:v>2.9887335941825148E-3</c:v>
                </c:pt>
                <c:pt idx="429">
                  <c:v>2.9992508707761493E-3</c:v>
                </c:pt>
                <c:pt idx="430">
                  <c:v>3.0127872418009901E-3</c:v>
                </c:pt>
                <c:pt idx="431">
                  <c:v>3.0232865125959553E-3</c:v>
                </c:pt>
                <c:pt idx="432">
                  <c:v>3.0396381568377423E-3</c:v>
                </c:pt>
                <c:pt idx="433">
                  <c:v>3.0562544324064453E-3</c:v>
                </c:pt>
                <c:pt idx="434">
                  <c:v>3.0701742973613614E-3</c:v>
                </c:pt>
                <c:pt idx="435">
                  <c:v>3.0868375157895801E-3</c:v>
                </c:pt>
                <c:pt idx="436">
                  <c:v>3.1055959108763115E-3</c:v>
                </c:pt>
                <c:pt idx="437">
                  <c:v>3.1158134544123236E-3</c:v>
                </c:pt>
                <c:pt idx="438">
                  <c:v>3.0907482836349436E-3</c:v>
                </c:pt>
                <c:pt idx="439">
                  <c:v>3.1049051892738325E-3</c:v>
                </c:pt>
                <c:pt idx="440">
                  <c:v>3.1219179130879777E-3</c:v>
                </c:pt>
                <c:pt idx="441">
                  <c:v>3.136949050264817E-3</c:v>
                </c:pt>
                <c:pt idx="442">
                  <c:v>3.1474739674114097E-3</c:v>
                </c:pt>
                <c:pt idx="443">
                  <c:v>3.1627378278157514E-3</c:v>
                </c:pt>
                <c:pt idx="444">
                  <c:v>3.1748554673607628E-3</c:v>
                </c:pt>
                <c:pt idx="445">
                  <c:v>3.1879672653017427E-3</c:v>
                </c:pt>
                <c:pt idx="446">
                  <c:v>3.208187439339023E-3</c:v>
                </c:pt>
                <c:pt idx="447">
                  <c:v>3.2223453586707122E-3</c:v>
                </c:pt>
                <c:pt idx="448">
                  <c:v>3.1964183207639175E-3</c:v>
                </c:pt>
                <c:pt idx="449">
                  <c:v>3.2088157090771991E-3</c:v>
                </c:pt>
                <c:pt idx="450">
                  <c:v>3.226208447463629E-3</c:v>
                </c:pt>
                <c:pt idx="451">
                  <c:v>3.2442212244257651E-3</c:v>
                </c:pt>
                <c:pt idx="452">
                  <c:v>3.2624486379674912E-3</c:v>
                </c:pt>
                <c:pt idx="453">
                  <c:v>3.2828460225252237E-3</c:v>
                </c:pt>
                <c:pt idx="454">
                  <c:v>3.2955988821163945E-3</c:v>
                </c:pt>
                <c:pt idx="455">
                  <c:v>3.3096592693118944E-3</c:v>
                </c:pt>
                <c:pt idx="456">
                  <c:v>3.3204927101237436E-3</c:v>
                </c:pt>
                <c:pt idx="457">
                  <c:v>3.3339217312742461E-3</c:v>
                </c:pt>
                <c:pt idx="458">
                  <c:v>3.3095463465339318E-3</c:v>
                </c:pt>
                <c:pt idx="459">
                  <c:v>3.3298951920212928E-3</c:v>
                </c:pt>
                <c:pt idx="460">
                  <c:v>3.3445594331492296E-3</c:v>
                </c:pt>
                <c:pt idx="461">
                  <c:v>3.3578495115246989E-3</c:v>
                </c:pt>
                <c:pt idx="462">
                  <c:v>3.3765378251776499E-3</c:v>
                </c:pt>
                <c:pt idx="463">
                  <c:v>3.3953382784538328E-3</c:v>
                </c:pt>
                <c:pt idx="464">
                  <c:v>3.4092376223576826E-3</c:v>
                </c:pt>
                <c:pt idx="465">
                  <c:v>3.4260811763270425E-3</c:v>
                </c:pt>
                <c:pt idx="466">
                  <c:v>3.4437258784098574E-3</c:v>
                </c:pt>
                <c:pt idx="467">
                  <c:v>3.4605061769904847E-3</c:v>
                </c:pt>
                <c:pt idx="468">
                  <c:v>3.4405412660939573E-3</c:v>
                </c:pt>
                <c:pt idx="469">
                  <c:v>3.4582249003105676E-3</c:v>
                </c:pt>
                <c:pt idx="470">
                  <c:v>3.476118608397135E-3</c:v>
                </c:pt>
                <c:pt idx="471">
                  <c:v>3.4877217471296785E-3</c:v>
                </c:pt>
                <c:pt idx="472">
                  <c:v>3.4890677609934451E-3</c:v>
                </c:pt>
                <c:pt idx="473">
                  <c:v>3.5071008149566538E-3</c:v>
                </c:pt>
                <c:pt idx="474">
                  <c:v>3.5234822372618175E-3</c:v>
                </c:pt>
                <c:pt idx="475">
                  <c:v>3.541424844726495E-3</c:v>
                </c:pt>
                <c:pt idx="476">
                  <c:v>3.5660234048170152E-3</c:v>
                </c:pt>
                <c:pt idx="477">
                  <c:v>3.5802316342910825E-3</c:v>
                </c:pt>
                <c:pt idx="478">
                  <c:v>3.5564961479646082E-3</c:v>
                </c:pt>
                <c:pt idx="479">
                  <c:v>3.5842032694449596E-3</c:v>
                </c:pt>
                <c:pt idx="480">
                  <c:v>3.5991360801144786E-3</c:v>
                </c:pt>
                <c:pt idx="481">
                  <c:v>3.6181859748508111E-3</c:v>
                </c:pt>
                <c:pt idx="482">
                  <c:v>3.6410342551618465E-3</c:v>
                </c:pt>
                <c:pt idx="483">
                  <c:v>3.6555430742733707E-3</c:v>
                </c:pt>
                <c:pt idx="484">
                  <c:v>3.662473174847608E-3</c:v>
                </c:pt>
                <c:pt idx="485">
                  <c:v>3.6753319242981922E-3</c:v>
                </c:pt>
                <c:pt idx="486">
                  <c:v>3.6928536524578909E-3</c:v>
                </c:pt>
                <c:pt idx="487">
                  <c:v>3.7110337025995726E-3</c:v>
                </c:pt>
                <c:pt idx="488">
                  <c:v>3.6932518106748639E-3</c:v>
                </c:pt>
                <c:pt idx="489">
                  <c:v>3.7137768263598571E-3</c:v>
                </c:pt>
                <c:pt idx="490">
                  <c:v>3.728927609881584E-3</c:v>
                </c:pt>
                <c:pt idx="491">
                  <c:v>3.7423168926021782E-3</c:v>
                </c:pt>
                <c:pt idx="492">
                  <c:v>3.7613977010377687E-3</c:v>
                </c:pt>
                <c:pt idx="493">
                  <c:v>3.7825307990971648E-3</c:v>
                </c:pt>
                <c:pt idx="494">
                  <c:v>3.8012580543311308E-3</c:v>
                </c:pt>
                <c:pt idx="495">
                  <c:v>3.8221255874983789E-3</c:v>
                </c:pt>
                <c:pt idx="496">
                  <c:v>3.838120224450862E-3</c:v>
                </c:pt>
                <c:pt idx="497">
                  <c:v>3.8605497683965326E-3</c:v>
                </c:pt>
                <c:pt idx="498">
                  <c:v>3.8367405105666371E-3</c:v>
                </c:pt>
                <c:pt idx="499">
                  <c:v>3.849639610131217E-3</c:v>
                </c:pt>
                <c:pt idx="500">
                  <c:v>3.8657421148585863E-3</c:v>
                </c:pt>
                <c:pt idx="501">
                  <c:v>3.8839538331517523E-3</c:v>
                </c:pt>
                <c:pt idx="502">
                  <c:v>3.9070653445248881E-3</c:v>
                </c:pt>
                <c:pt idx="503">
                  <c:v>3.9238026610264078E-3</c:v>
                </c:pt>
                <c:pt idx="504">
                  <c:v>3.949136431936175E-3</c:v>
                </c:pt>
                <c:pt idx="505">
                  <c:v>3.9637500227897434E-3</c:v>
                </c:pt>
                <c:pt idx="506">
                  <c:v>3.9750474862768484E-3</c:v>
                </c:pt>
                <c:pt idx="507">
                  <c:v>3.9970780826122203E-3</c:v>
                </c:pt>
                <c:pt idx="508">
                  <c:v>3.9713906667887527E-3</c:v>
                </c:pt>
                <c:pt idx="509">
                  <c:v>3.9910952720156635E-3</c:v>
                </c:pt>
                <c:pt idx="510">
                  <c:v>4.0114319267878012E-3</c:v>
                </c:pt>
                <c:pt idx="511">
                  <c:v>4.019311049973732E-3</c:v>
                </c:pt>
                <c:pt idx="512">
                  <c:v>4.0417044964154323E-3</c:v>
                </c:pt>
                <c:pt idx="513">
                  <c:v>4.0575224514930192E-3</c:v>
                </c:pt>
                <c:pt idx="514">
                  <c:v>4.0737303257374945E-3</c:v>
                </c:pt>
                <c:pt idx="515">
                  <c:v>4.0998794412228151E-3</c:v>
                </c:pt>
                <c:pt idx="516">
                  <c:v>4.1192031519384359E-3</c:v>
                </c:pt>
                <c:pt idx="517">
                  <c:v>4.1427539254137525E-3</c:v>
                </c:pt>
                <c:pt idx="518">
                  <c:v>4.1121307092199062E-3</c:v>
                </c:pt>
                <c:pt idx="519">
                  <c:v>4.1275618678627913E-3</c:v>
                </c:pt>
                <c:pt idx="520">
                  <c:v>4.1496714289736203E-3</c:v>
                </c:pt>
                <c:pt idx="521">
                  <c:v>4.162920260093423E-3</c:v>
                </c:pt>
                <c:pt idx="522">
                  <c:v>4.1813773343985184E-3</c:v>
                </c:pt>
                <c:pt idx="523">
                  <c:v>4.2021006968605105E-3</c:v>
                </c:pt>
                <c:pt idx="524">
                  <c:v>4.2215547062235247E-3</c:v>
                </c:pt>
                <c:pt idx="525">
                  <c:v>4.2330656138705007E-3</c:v>
                </c:pt>
                <c:pt idx="526">
                  <c:v>4.2501845478888816E-3</c:v>
                </c:pt>
                <c:pt idx="527">
                  <c:v>4.275029904291113E-3</c:v>
                </c:pt>
                <c:pt idx="528">
                  <c:v>4.2528236749274839E-3</c:v>
                </c:pt>
                <c:pt idx="529">
                  <c:v>4.2730131053115199E-3</c:v>
                </c:pt>
                <c:pt idx="530">
                  <c:v>4.293807223674148E-3</c:v>
                </c:pt>
                <c:pt idx="531">
                  <c:v>4.3038630115706973E-3</c:v>
                </c:pt>
                <c:pt idx="532">
                  <c:v>4.3175747857579138E-3</c:v>
                </c:pt>
                <c:pt idx="533">
                  <c:v>4.3402755420266503E-3</c:v>
                </c:pt>
                <c:pt idx="534">
                  <c:v>4.3523757470911566E-3</c:v>
                </c:pt>
                <c:pt idx="535">
                  <c:v>4.3748391992535678E-3</c:v>
                </c:pt>
                <c:pt idx="536">
                  <c:v>4.3950864777435022E-3</c:v>
                </c:pt>
                <c:pt idx="537">
                  <c:v>4.4066738309179341E-3</c:v>
                </c:pt>
                <c:pt idx="538">
                  <c:v>4.3786206678414754E-3</c:v>
                </c:pt>
                <c:pt idx="539">
                  <c:v>4.4063054614289698E-3</c:v>
                </c:pt>
                <c:pt idx="540">
                  <c:v>4.4280639681065779E-3</c:v>
                </c:pt>
                <c:pt idx="541">
                  <c:v>4.4474734444061512E-3</c:v>
                </c:pt>
                <c:pt idx="542">
                  <c:v>4.4640105234261046E-3</c:v>
                </c:pt>
                <c:pt idx="543">
                  <c:v>4.4847183285977414E-3</c:v>
                </c:pt>
                <c:pt idx="544">
                  <c:v>4.5091320059918978E-3</c:v>
                </c:pt>
                <c:pt idx="545">
                  <c:v>4.5164053461207096E-3</c:v>
                </c:pt>
                <c:pt idx="546">
                  <c:v>4.5432414653314842E-3</c:v>
                </c:pt>
                <c:pt idx="547">
                  <c:v>4.5556381594388812E-3</c:v>
                </c:pt>
                <c:pt idx="548">
                  <c:v>4.5280566968389302E-3</c:v>
                </c:pt>
                <c:pt idx="549">
                  <c:v>4.5483373123299279E-3</c:v>
                </c:pt>
                <c:pt idx="550">
                  <c:v>4.5670984420383351E-3</c:v>
                </c:pt>
                <c:pt idx="551">
                  <c:v>4.5893312092709472E-3</c:v>
                </c:pt>
                <c:pt idx="552">
                  <c:v>4.6176470342604824E-3</c:v>
                </c:pt>
                <c:pt idx="553">
                  <c:v>4.6308438404427266E-3</c:v>
                </c:pt>
                <c:pt idx="554">
                  <c:v>4.6481479778225599E-3</c:v>
                </c:pt>
                <c:pt idx="555">
                  <c:v>4.6618647926553146E-3</c:v>
                </c:pt>
                <c:pt idx="556">
                  <c:v>4.6770287920547731E-3</c:v>
                </c:pt>
                <c:pt idx="557">
                  <c:v>4.6986873158570454E-3</c:v>
                </c:pt>
                <c:pt idx="558">
                  <c:v>4.6849789910188904E-3</c:v>
                </c:pt>
                <c:pt idx="559">
                  <c:v>4.6989723485506719E-3</c:v>
                </c:pt>
                <c:pt idx="560">
                  <c:v>4.7236924894131418E-3</c:v>
                </c:pt>
                <c:pt idx="561">
                  <c:v>4.7389824047949702E-3</c:v>
                </c:pt>
                <c:pt idx="562">
                  <c:v>4.7554842500025386E-3</c:v>
                </c:pt>
                <c:pt idx="563">
                  <c:v>4.7773044908417687E-3</c:v>
                </c:pt>
                <c:pt idx="564">
                  <c:v>4.800854775346499E-3</c:v>
                </c:pt>
                <c:pt idx="565">
                  <c:v>4.8262734540598312E-3</c:v>
                </c:pt>
                <c:pt idx="566">
                  <c:v>4.8342052750246535E-3</c:v>
                </c:pt>
                <c:pt idx="567">
                  <c:v>4.8428988240687004E-3</c:v>
                </c:pt>
                <c:pt idx="568">
                  <c:v>4.8094954534696199E-3</c:v>
                </c:pt>
                <c:pt idx="569">
                  <c:v>4.8312560627844581E-3</c:v>
                </c:pt>
                <c:pt idx="570">
                  <c:v>4.853236976997367E-3</c:v>
                </c:pt>
                <c:pt idx="571">
                  <c:v>4.8728722836175291E-3</c:v>
                </c:pt>
                <c:pt idx="572">
                  <c:v>4.8953441618807799E-3</c:v>
                </c:pt>
                <c:pt idx="573">
                  <c:v>4.915193611043059E-3</c:v>
                </c:pt>
                <c:pt idx="574">
                  <c:v>4.932909661071321E-3</c:v>
                </c:pt>
                <c:pt idx="575">
                  <c:v>4.9511754106343914E-3</c:v>
                </c:pt>
                <c:pt idx="576">
                  <c:v>4.9753198780697191E-3</c:v>
                </c:pt>
                <c:pt idx="577">
                  <c:v>4.9813641205331003E-3</c:v>
                </c:pt>
                <c:pt idx="578">
                  <c:v>4.9550249845470616E-3</c:v>
                </c:pt>
                <c:pt idx="579">
                  <c:v>4.9804882751063387E-3</c:v>
                </c:pt>
                <c:pt idx="580">
                  <c:v>5.0068335905418451E-3</c:v>
                </c:pt>
                <c:pt idx="581">
                  <c:v>5.0339677843367911E-3</c:v>
                </c:pt>
                <c:pt idx="582">
                  <c:v>5.0469093829884739E-3</c:v>
                </c:pt>
                <c:pt idx="583">
                  <c:v>5.066000143757199E-3</c:v>
                </c:pt>
                <c:pt idx="584">
                  <c:v>5.0798328098881889E-3</c:v>
                </c:pt>
                <c:pt idx="585">
                  <c:v>5.0959673631844954E-3</c:v>
                </c:pt>
                <c:pt idx="586">
                  <c:v>5.1121597208961846E-3</c:v>
                </c:pt>
                <c:pt idx="587">
                  <c:v>5.1335791236441844E-3</c:v>
                </c:pt>
                <c:pt idx="588">
                  <c:v>5.1129204680652272E-3</c:v>
                </c:pt>
                <c:pt idx="589">
                  <c:v>5.1355411187900667E-3</c:v>
                </c:pt>
                <c:pt idx="590">
                  <c:v>5.159756689018526E-3</c:v>
                </c:pt>
                <c:pt idx="591">
                  <c:v>5.1793990307947776E-3</c:v>
                </c:pt>
                <c:pt idx="592">
                  <c:v>5.1998897232835425E-3</c:v>
                </c:pt>
                <c:pt idx="593">
                  <c:v>5.2047380189557098E-3</c:v>
                </c:pt>
                <c:pt idx="594">
                  <c:v>5.2349561793936144E-3</c:v>
                </c:pt>
                <c:pt idx="595">
                  <c:v>5.2600911148771128E-3</c:v>
                </c:pt>
                <c:pt idx="596">
                  <c:v>5.2821368799922533E-3</c:v>
                </c:pt>
                <c:pt idx="597">
                  <c:v>5.3099767363143924E-3</c:v>
                </c:pt>
                <c:pt idx="598">
                  <c:v>5.2889939550338294E-3</c:v>
                </c:pt>
                <c:pt idx="599">
                  <c:v>5.2955792468035237E-3</c:v>
                </c:pt>
                <c:pt idx="600">
                  <c:v>5.3170760265822741E-3</c:v>
                </c:pt>
                <c:pt idx="601">
                  <c:v>5.3352106275986839E-3</c:v>
                </c:pt>
                <c:pt idx="602">
                  <c:v>5.3704649782194405E-3</c:v>
                </c:pt>
                <c:pt idx="603">
                  <c:v>5.3788841489491156E-3</c:v>
                </c:pt>
                <c:pt idx="604">
                  <c:v>5.4007370194812465E-3</c:v>
                </c:pt>
                <c:pt idx="605">
                  <c:v>5.4142036677045716E-3</c:v>
                </c:pt>
                <c:pt idx="606">
                  <c:v>5.436992570203707E-3</c:v>
                </c:pt>
                <c:pt idx="607">
                  <c:v>5.4549713382660439E-3</c:v>
                </c:pt>
                <c:pt idx="608">
                  <c:v>5.4417428089826659E-3</c:v>
                </c:pt>
                <c:pt idx="609">
                  <c:v>5.4504121062373314E-3</c:v>
                </c:pt>
                <c:pt idx="610">
                  <c:v>5.4703308461840246E-3</c:v>
                </c:pt>
                <c:pt idx="611">
                  <c:v>5.4894835417996458E-3</c:v>
                </c:pt>
                <c:pt idx="612">
                  <c:v>5.5208979284595682E-3</c:v>
                </c:pt>
                <c:pt idx="613">
                  <c:v>5.5395086379760759E-3</c:v>
                </c:pt>
                <c:pt idx="614">
                  <c:v>5.5586872408750097E-3</c:v>
                </c:pt>
                <c:pt idx="615">
                  <c:v>5.586237402046495E-3</c:v>
                </c:pt>
                <c:pt idx="616">
                  <c:v>5.6140154299484492E-3</c:v>
                </c:pt>
                <c:pt idx="617">
                  <c:v>5.6340907279639708E-3</c:v>
                </c:pt>
                <c:pt idx="618">
                  <c:v>5.6195081438541097E-3</c:v>
                </c:pt>
                <c:pt idx="619">
                  <c:v>5.630461791385705E-3</c:v>
                </c:pt>
                <c:pt idx="620">
                  <c:v>5.6414823217196914E-3</c:v>
                </c:pt>
                <c:pt idx="621">
                  <c:v>5.6694592471301332E-3</c:v>
                </c:pt>
                <c:pt idx="622">
                  <c:v>5.6892800310841644E-3</c:v>
                </c:pt>
                <c:pt idx="623">
                  <c:v>5.7061799180091223E-3</c:v>
                </c:pt>
                <c:pt idx="624">
                  <c:v>5.7337414233524699E-3</c:v>
                </c:pt>
                <c:pt idx="625">
                  <c:v>5.7551988769627511E-3</c:v>
                </c:pt>
                <c:pt idx="626">
                  <c:v>5.779984321979602E-3</c:v>
                </c:pt>
                <c:pt idx="627">
                  <c:v>5.8123038348490176E-3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36160"/>
        <c:axId val="57062912"/>
      </c:scatterChart>
      <c:valAx>
        <c:axId val="57036160"/>
        <c:scaling>
          <c:orientation val="minMax"/>
          <c:max val="1.5000000000000003E-2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>
                    <a:sym typeface="Symbol"/>
                  </a:rPr>
                  <a:t>(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/</a:t>
                </a:r>
                <a:r>
                  <a:rPr lang="en-US" i="1">
                    <a:sym typeface="Symbol"/>
                  </a:rPr>
                  <a:t>T</a:t>
                </a:r>
                <a:r>
                  <a:rPr lang="en-US" i="0">
                    <a:sym typeface="Symbol"/>
                  </a:rPr>
                  <a:t>)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062912"/>
        <c:crosses val="autoZero"/>
        <c:crossBetween val="midCat"/>
        <c:majorUnit val="0.01"/>
        <c:minorUnit val="5.0000000000000001E-3"/>
      </c:valAx>
      <c:valAx>
        <c:axId val="5706291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036160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17460317460316"/>
          <c:y val="2.0000039062576296E-2"/>
          <c:w val="0.71186706349206352"/>
          <c:h val="0.84560476190476186"/>
        </c:manualLayout>
      </c:layout>
      <c:scatterChart>
        <c:scatterStyle val="lineMarker"/>
        <c:varyColors val="0"/>
        <c:ser>
          <c:idx val="2"/>
          <c:order val="0"/>
          <c:spPr>
            <a:ln>
              <a:noFill/>
            </a:ln>
          </c:spPr>
          <c:marker>
            <c:symbol val="circle"/>
            <c:size val="4"/>
            <c:spPr>
              <a:solidFill>
                <a:schemeClr val="tx1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Лист1!$P$5:$P$9</c:f>
              <c:numCache>
                <c:formatCode>General</c:formatCode>
                <c:ptCount val="5"/>
                <c:pt idx="0">
                  <c:v>5.439964204343994</c:v>
                </c:pt>
                <c:pt idx="1">
                  <c:v>3.5072291785137679</c:v>
                </c:pt>
                <c:pt idx="2">
                  <c:v>3.8328761699618497</c:v>
                </c:pt>
                <c:pt idx="3">
                  <c:v>0.62370647590822159</c:v>
                </c:pt>
                <c:pt idx="4">
                  <c:v>1.7360117214355739</c:v>
                </c:pt>
              </c:numCache>
            </c:numRef>
          </c:xVal>
          <c:yVal>
            <c:numRef>
              <c:f>Лист1!$O$5:$O$9</c:f>
              <c:numCache>
                <c:formatCode>General</c:formatCode>
                <c:ptCount val="5"/>
                <c:pt idx="0">
                  <c:v>3</c:v>
                </c:pt>
                <c:pt idx="1">
                  <c:v>5.52</c:v>
                </c:pt>
                <c:pt idx="2">
                  <c:v>7.08</c:v>
                </c:pt>
                <c:pt idx="3">
                  <c:v>9</c:v>
                </c:pt>
                <c:pt idx="4">
                  <c:v>11.616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72768"/>
        <c:axId val="57875072"/>
      </c:scatterChart>
      <c:valAx>
        <c:axId val="57872768"/>
        <c:scaling>
          <c:orientation val="minMax"/>
          <c:max val="6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|</a:t>
                </a:r>
                <a:r>
                  <a:rPr lang="en-US" i="1"/>
                  <a:t>T</a:t>
                </a:r>
                <a:r>
                  <a:rPr lang="en-US" sz="700" i="0"/>
                  <a:t>CPAC</a:t>
                </a:r>
                <a:r>
                  <a:rPr lang="en-US" sz="1000" i="0"/>
                  <a:t> - </a:t>
                </a:r>
                <a:r>
                  <a:rPr lang="en-US" sz="1000" i="1"/>
                  <a:t>T</a:t>
                </a:r>
                <a:r>
                  <a:rPr lang="en-US" sz="1000" i="0"/>
                  <a:t>|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24057142857142857"/>
              <c:y val="0.92337142857142862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875072"/>
        <c:crosses val="autoZero"/>
        <c:crossBetween val="midCat"/>
        <c:majorUnit val="2"/>
        <c:minorUnit val="1"/>
      </c:valAx>
      <c:valAx>
        <c:axId val="57875072"/>
        <c:scaling>
          <c:orientation val="minMax"/>
          <c:max val="13"/>
          <c:min val="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872768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0</xdr:row>
      <xdr:rowOff>28575</xdr:rowOff>
    </xdr:from>
    <xdr:ext cx="1609725" cy="523875"/>
    <xdr:sp macro="" textlink="">
      <xdr:nvSpPr>
        <xdr:cNvPr id="69" name="TextBox 2"/>
        <xdr:cNvSpPr txBox="1">
          <a:spLocks noChangeArrowheads="1"/>
        </xdr:cNvSpPr>
      </xdr:nvSpPr>
      <xdr:spPr bwMode="auto">
        <a:xfrm>
          <a:off x="13068300" y="28575"/>
          <a:ext cx="1609725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Kolpashevo 29231</a:t>
          </a:r>
        </a:p>
      </xdr:txBody>
    </xdr:sp>
    <xdr:clientData/>
  </xdr:oneCellAnchor>
  <xdr:oneCellAnchor>
    <xdr:from>
      <xdr:col>8</xdr:col>
      <xdr:colOff>0</xdr:colOff>
      <xdr:row>1</xdr:row>
      <xdr:rowOff>9525</xdr:rowOff>
    </xdr:from>
    <xdr:ext cx="876300" cy="685800"/>
    <xdr:sp macro="" textlink="">
      <xdr:nvSpPr>
        <xdr:cNvPr id="70" name="TextBox 2"/>
        <xdr:cNvSpPr txBox="1">
          <a:spLocks noChangeArrowheads="1"/>
        </xdr:cNvSpPr>
      </xdr:nvSpPr>
      <xdr:spPr bwMode="auto">
        <a:xfrm>
          <a:off x="13039725" y="590550"/>
          <a:ext cx="8763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12</xdr:col>
      <xdr:colOff>0</xdr:colOff>
      <xdr:row>1</xdr:row>
      <xdr:rowOff>9525</xdr:rowOff>
    </xdr:from>
    <xdr:ext cx="819150" cy="685800"/>
    <xdr:sp macro="" textlink="">
      <xdr:nvSpPr>
        <xdr:cNvPr id="71" name="TextBox 2"/>
        <xdr:cNvSpPr txBox="1">
          <a:spLocks noChangeArrowheads="1"/>
        </xdr:cNvSpPr>
      </xdr:nvSpPr>
      <xdr:spPr bwMode="auto">
        <a:xfrm>
          <a:off x="16202025" y="590550"/>
          <a:ext cx="8191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Altitude points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10</xdr:col>
      <xdr:colOff>0</xdr:colOff>
      <xdr:row>1</xdr:row>
      <xdr:rowOff>9525</xdr:rowOff>
    </xdr:from>
    <xdr:ext cx="771525" cy="685800"/>
    <xdr:sp macro="" textlink="">
      <xdr:nvSpPr>
        <xdr:cNvPr id="72" name="TextBox 2"/>
        <xdr:cNvSpPr txBox="1">
          <a:spLocks noChangeArrowheads="1"/>
        </xdr:cNvSpPr>
      </xdr:nvSpPr>
      <xdr:spPr bwMode="auto">
        <a:xfrm>
          <a:off x="14639925" y="590550"/>
          <a:ext cx="7715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 altitude points,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km</a:t>
          </a:r>
        </a:p>
      </xdr:txBody>
    </xdr:sp>
    <xdr:clientData/>
  </xdr:oneCellAnchor>
  <xdr:oneCellAnchor>
    <xdr:from>
      <xdr:col>9</xdr:col>
      <xdr:colOff>800100</xdr:colOff>
      <xdr:row>0</xdr:row>
      <xdr:rowOff>28575</xdr:rowOff>
    </xdr:from>
    <xdr:ext cx="1543050" cy="523875"/>
    <xdr:sp macro="" textlink="">
      <xdr:nvSpPr>
        <xdr:cNvPr id="73" name="TextBox 2"/>
        <xdr:cNvSpPr txBox="1">
          <a:spLocks noChangeArrowheads="1"/>
        </xdr:cNvSpPr>
      </xdr:nvSpPr>
      <xdr:spPr bwMode="auto">
        <a:xfrm>
          <a:off x="14678025" y="28575"/>
          <a:ext cx="1543050" cy="523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200" b="1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Novosibirsk 29634</a:t>
          </a:r>
        </a:p>
      </xdr:txBody>
    </xdr:sp>
    <xdr:clientData/>
  </xdr:oneCellAnchor>
  <xdr:oneCellAnchor>
    <xdr:from>
      <xdr:col>9</xdr:col>
      <xdr:colOff>0</xdr:colOff>
      <xdr:row>1</xdr:row>
      <xdr:rowOff>9525</xdr:rowOff>
    </xdr:from>
    <xdr:ext cx="809625" cy="685800"/>
    <xdr:sp macro="" textlink="">
      <xdr:nvSpPr>
        <xdr:cNvPr id="74" name="TextBox 2"/>
        <xdr:cNvSpPr txBox="1">
          <a:spLocks noChangeArrowheads="1"/>
        </xdr:cNvSpPr>
      </xdr:nvSpPr>
      <xdr:spPr bwMode="auto">
        <a:xfrm>
          <a:off x="13811250" y="590550"/>
          <a:ext cx="8096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chemeClr val="accent6">
                  <a:lumMod val="75000"/>
                </a:schemeClr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11</xdr:col>
      <xdr:colOff>0</xdr:colOff>
      <xdr:row>1</xdr:row>
      <xdr:rowOff>9525</xdr:rowOff>
    </xdr:from>
    <xdr:ext cx="742950" cy="685800"/>
    <xdr:sp macro="" textlink="">
      <xdr:nvSpPr>
        <xdr:cNvPr id="75" name="TextBox 2"/>
        <xdr:cNvSpPr txBox="1">
          <a:spLocks noChangeArrowheads="1"/>
        </xdr:cNvSpPr>
      </xdr:nvSpPr>
      <xdr:spPr bwMode="auto">
        <a:xfrm>
          <a:off x="154209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Radiosonde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002060"/>
              </a:solidFill>
              <a:latin typeface="Times New Roman"/>
              <a:cs typeface="Times New Roman"/>
            </a:rPr>
            <a:t>K</a:t>
          </a:r>
        </a:p>
      </xdr:txBody>
    </xdr:sp>
    <xdr:clientData/>
  </xdr:oneCellAnchor>
  <xdr:oneCellAnchor>
    <xdr:from>
      <xdr:col>13</xdr:col>
      <xdr:colOff>0</xdr:colOff>
      <xdr:row>1</xdr:row>
      <xdr:rowOff>9525</xdr:rowOff>
    </xdr:from>
    <xdr:ext cx="742950" cy="685800"/>
    <xdr:sp macro="" textlink="">
      <xdr:nvSpPr>
        <xdr:cNvPr id="76" name="TextBox 2"/>
        <xdr:cNvSpPr txBox="1">
          <a:spLocks noChangeArrowheads="1"/>
        </xdr:cNvSpPr>
      </xdr:nvSpPr>
      <xdr:spPr bwMode="auto">
        <a:xfrm>
          <a:off x="17059275" y="590550"/>
          <a:ext cx="7429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Temperature</a:t>
          </a:r>
        </a:p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over Tomsk</a:t>
          </a:r>
        </a:p>
        <a:p>
          <a:pPr algn="ctr" rtl="0">
            <a:defRPr sz="1000"/>
          </a:pPr>
          <a:r>
            <a:rPr lang="en-US" sz="1200" b="0" i="1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T</a:t>
          </a:r>
          <a:r>
            <a:rPr lang="en-US" sz="7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CPAC</a:t>
          </a:r>
          <a:r>
            <a:rPr lang="en-US" sz="900" b="0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,  K</a:t>
          </a:r>
        </a:p>
      </xdr:txBody>
    </xdr:sp>
    <xdr:clientData/>
  </xdr:oneCellAnchor>
  <xdr:oneCellAnchor>
    <xdr:from>
      <xdr:col>14</xdr:col>
      <xdr:colOff>0</xdr:colOff>
      <xdr:row>1</xdr:row>
      <xdr:rowOff>66675</xdr:rowOff>
    </xdr:from>
    <xdr:ext cx="619125" cy="428625"/>
    <xdr:sp macro="" textlink="">
      <xdr:nvSpPr>
        <xdr:cNvPr id="50" name="TextBox 2"/>
        <xdr:cNvSpPr txBox="1">
          <a:spLocks noChangeArrowheads="1"/>
        </xdr:cNvSpPr>
      </xdr:nvSpPr>
      <xdr:spPr bwMode="auto">
        <a:xfrm>
          <a:off x="21736050" y="647700"/>
          <a:ext cx="6191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Lidar signal altitude, km</a:t>
          </a:r>
        </a:p>
      </xdr:txBody>
    </xdr:sp>
    <xdr:clientData/>
  </xdr:oneCellAnchor>
  <xdr:twoCellAnchor>
    <xdr:from>
      <xdr:col>0</xdr:col>
      <xdr:colOff>590550</xdr:colOff>
      <xdr:row>10</xdr:row>
      <xdr:rowOff>142875</xdr:rowOff>
    </xdr:from>
    <xdr:to>
      <xdr:col>3</xdr:col>
      <xdr:colOff>746400</xdr:colOff>
      <xdr:row>26</xdr:row>
      <xdr:rowOff>72075</xdr:rowOff>
    </xdr:to>
    <xdr:graphicFrame macro="">
      <xdr:nvGraphicFramePr>
        <xdr:cNvPr id="42" name="Диаграмма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10</xdr:row>
      <xdr:rowOff>142875</xdr:rowOff>
    </xdr:from>
    <xdr:to>
      <xdr:col>4</xdr:col>
      <xdr:colOff>703201</xdr:colOff>
      <xdr:row>26</xdr:row>
      <xdr:rowOff>72075</xdr:rowOff>
    </xdr:to>
    <xdr:graphicFrame macro="">
      <xdr:nvGraphicFramePr>
        <xdr:cNvPr id="43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695326</xdr:colOff>
      <xdr:row>10</xdr:row>
      <xdr:rowOff>142875</xdr:rowOff>
    </xdr:from>
    <xdr:to>
      <xdr:col>6</xdr:col>
      <xdr:colOff>26926</xdr:colOff>
      <xdr:row>26</xdr:row>
      <xdr:rowOff>72075</xdr:rowOff>
    </xdr:to>
    <xdr:graphicFrame macro="">
      <xdr:nvGraphicFramePr>
        <xdr:cNvPr id="44" name="Диаграмма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19051</xdr:colOff>
      <xdr:row>10</xdr:row>
      <xdr:rowOff>142875</xdr:rowOff>
    </xdr:from>
    <xdr:to>
      <xdr:col>7</xdr:col>
      <xdr:colOff>188851</xdr:colOff>
      <xdr:row>26</xdr:row>
      <xdr:rowOff>72075</xdr:rowOff>
    </xdr:to>
    <xdr:graphicFrame macro="">
      <xdr:nvGraphicFramePr>
        <xdr:cNvPr id="45" name="Диаграмма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381000</xdr:colOff>
          <xdr:row>0</xdr:row>
          <xdr:rowOff>180975</xdr:rowOff>
        </xdr:from>
        <xdr:to>
          <xdr:col>1</xdr:col>
          <xdr:colOff>647700</xdr:colOff>
          <xdr:row>0</xdr:row>
          <xdr:rowOff>457200</xdr:rowOff>
        </xdr:to>
        <xdr:sp macro="" textlink="">
          <xdr:nvSpPr>
            <xdr:cNvPr id="1163" name="Object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371475</xdr:colOff>
          <xdr:row>0</xdr:row>
          <xdr:rowOff>161925</xdr:rowOff>
        </xdr:from>
        <xdr:to>
          <xdr:col>2</xdr:col>
          <xdr:colOff>647700</xdr:colOff>
          <xdr:row>0</xdr:row>
          <xdr:rowOff>438150</xdr:rowOff>
        </xdr:to>
        <xdr:sp macro="" textlink="">
          <xdr:nvSpPr>
            <xdr:cNvPr id="1164" name="Object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1</xdr:row>
          <xdr:rowOff>466725</xdr:rowOff>
        </xdr:from>
        <xdr:to>
          <xdr:col>1</xdr:col>
          <xdr:colOff>619125</xdr:colOff>
          <xdr:row>1</xdr:row>
          <xdr:rowOff>704850</xdr:rowOff>
        </xdr:to>
        <xdr:sp macro="" textlink="">
          <xdr:nvSpPr>
            <xdr:cNvPr id="1165" name="Object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323850</xdr:colOff>
          <xdr:row>1</xdr:row>
          <xdr:rowOff>466725</xdr:rowOff>
        </xdr:from>
        <xdr:to>
          <xdr:col>2</xdr:col>
          <xdr:colOff>619125</xdr:colOff>
          <xdr:row>1</xdr:row>
          <xdr:rowOff>704850</xdr:rowOff>
        </xdr:to>
        <xdr:sp macro="" textlink="">
          <xdr:nvSpPr>
            <xdr:cNvPr id="1166" name="Object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66675</xdr:colOff>
          <xdr:row>0</xdr:row>
          <xdr:rowOff>152400</xdr:rowOff>
        </xdr:from>
        <xdr:to>
          <xdr:col>3</xdr:col>
          <xdr:colOff>981075</xdr:colOff>
          <xdr:row>0</xdr:row>
          <xdr:rowOff>428625</xdr:rowOff>
        </xdr:to>
        <xdr:sp macro="" textlink="">
          <xdr:nvSpPr>
            <xdr:cNvPr id="1170" name="Object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12</xdr:col>
      <xdr:colOff>28575</xdr:colOff>
      <xdr:row>0</xdr:row>
      <xdr:rowOff>66675</xdr:rowOff>
    </xdr:from>
    <xdr:ext cx="1590675" cy="523875"/>
    <xdr:sp macro="" textlink="">
      <xdr:nvSpPr>
        <xdr:cNvPr id="38" name="TextBox 2"/>
        <xdr:cNvSpPr txBox="1">
          <a:spLocks noChangeArrowheads="1"/>
        </xdr:cNvSpPr>
      </xdr:nvSpPr>
      <xdr:spPr bwMode="auto">
        <a:xfrm>
          <a:off x="10658475" y="66675"/>
          <a:ext cx="1590675" cy="523875"/>
        </a:xfrm>
        <a:prstGeom prst="rect">
          <a:avLst/>
        </a:prstGeom>
        <a:solidFill>
          <a:schemeClr val="tx1"/>
        </a:solidFill>
        <a:ln>
          <a:noFill/>
        </a:ln>
        <a:ex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100" b="1" i="0" u="none" strike="noStrike" baseline="0">
              <a:solidFill>
                <a:srgbClr val="FFFF00"/>
              </a:solidFill>
              <a:latin typeface="Times New Roman"/>
              <a:cs typeface="Times New Roman"/>
            </a:rPr>
            <a:t>Constant-pressure altitude charts data</a:t>
          </a:r>
        </a:p>
      </xdr:txBody>
    </xdr:sp>
    <xdr:clientData/>
  </xdr:oneCellAnchor>
  <xdr:oneCellAnchor>
    <xdr:from>
      <xdr:col>15</xdr:col>
      <xdr:colOff>0</xdr:colOff>
      <xdr:row>0</xdr:row>
      <xdr:rowOff>581024</xdr:rowOff>
    </xdr:from>
    <xdr:ext cx="1228725" cy="695325"/>
    <xdr:sp macro="" textlink="">
      <xdr:nvSpPr>
        <xdr:cNvPr id="54" name="TextBox 2"/>
        <xdr:cNvSpPr txBox="1">
          <a:spLocks noChangeArrowheads="1"/>
        </xdr:cNvSpPr>
      </xdr:nvSpPr>
      <xdr:spPr bwMode="auto">
        <a:xfrm>
          <a:off x="12592050" y="581024"/>
          <a:ext cx="12287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The difference between retrieved and charts tempereture points</a:t>
          </a: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|</a:t>
          </a:r>
          <a:r>
            <a:rPr lang="en-US" sz="1200" b="1" i="1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</a:t>
          </a:r>
          <a:r>
            <a:rPr lang="en-US" sz="7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CPAC</a:t>
          </a:r>
          <a:r>
            <a:rPr lang="en-US" sz="12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 - T|</a:t>
          </a:r>
          <a:r>
            <a:rPr lang="en-US" sz="9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, K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352425</xdr:colOff>
          <xdr:row>0</xdr:row>
          <xdr:rowOff>133350</xdr:rowOff>
        </xdr:from>
        <xdr:to>
          <xdr:col>4</xdr:col>
          <xdr:colOff>504825</xdr:colOff>
          <xdr:row>0</xdr:row>
          <xdr:rowOff>314325</xdr:rowOff>
        </xdr:to>
        <xdr:sp macro="" textlink="">
          <xdr:nvSpPr>
            <xdr:cNvPr id="1180" name="Object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</xdr:row>
      <xdr:rowOff>76200</xdr:rowOff>
    </xdr:from>
    <xdr:to>
      <xdr:col>4</xdr:col>
      <xdr:colOff>790575</xdr:colOff>
      <xdr:row>1</xdr:row>
      <xdr:rowOff>695325</xdr:rowOff>
    </xdr:to>
    <xdr:sp macro="" textlink="">
      <xdr:nvSpPr>
        <xdr:cNvPr id="55" name="TextBox 2"/>
        <xdr:cNvSpPr txBox="1">
          <a:spLocks noChangeArrowheads="1"/>
        </xdr:cNvSpPr>
      </xdr:nvSpPr>
      <xdr:spPr bwMode="auto">
        <a:xfrm>
          <a:off x="3752850" y="657225"/>
          <a:ext cx="790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retrieved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temperature,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295275</xdr:colOff>
          <xdr:row>0</xdr:row>
          <xdr:rowOff>123825</xdr:rowOff>
        </xdr:from>
        <xdr:to>
          <xdr:col>5</xdr:col>
          <xdr:colOff>571500</xdr:colOff>
          <xdr:row>0</xdr:row>
          <xdr:rowOff>352425</xdr:rowOff>
        </xdr:to>
        <xdr:sp macro="" textlink="">
          <xdr:nvSpPr>
            <xdr:cNvPr id="1181" name="Object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5</xdr:col>
      <xdr:colOff>0</xdr:colOff>
      <xdr:row>1</xdr:row>
      <xdr:rowOff>47625</xdr:rowOff>
    </xdr:from>
    <xdr:to>
      <xdr:col>5</xdr:col>
      <xdr:colOff>790575</xdr:colOff>
      <xdr:row>2</xdr:row>
      <xdr:rowOff>9525</xdr:rowOff>
    </xdr:to>
    <xdr:sp macro="" textlink="">
      <xdr:nvSpPr>
        <xdr:cNvPr id="56" name="TextBox 2"/>
        <xdr:cNvSpPr txBox="1">
          <a:spLocks noChangeArrowheads="1"/>
        </xdr:cNvSpPr>
      </xdr:nvSpPr>
      <xdr:spPr bwMode="auto">
        <a:xfrm>
          <a:off x="4591050" y="628650"/>
          <a:ext cx="790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absolute uncertainty,</a:t>
          </a:r>
        </a:p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K</a:t>
          </a:r>
        </a:p>
      </xdr:txBody>
    </xdr:sp>
    <xdr:clientData/>
  </xdr:twoCellAnchor>
  <xdr:twoCellAnchor editAs="oneCell">
    <xdr:from>
      <xdr:col>6</xdr:col>
      <xdr:colOff>0</xdr:colOff>
      <xdr:row>1</xdr:row>
      <xdr:rowOff>47625</xdr:rowOff>
    </xdr:from>
    <xdr:to>
      <xdr:col>6</xdr:col>
      <xdr:colOff>790575</xdr:colOff>
      <xdr:row>1</xdr:row>
      <xdr:rowOff>571500</xdr:rowOff>
    </xdr:to>
    <xdr:sp macro="" textlink="">
      <xdr:nvSpPr>
        <xdr:cNvPr id="57" name="TextBox 2"/>
        <xdr:cNvSpPr txBox="1">
          <a:spLocks noChangeArrowheads="1"/>
        </xdr:cNvSpPr>
      </xdr:nvSpPr>
      <xdr:spPr bwMode="auto">
        <a:xfrm>
          <a:off x="5429250" y="628650"/>
          <a:ext cx="7905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chemeClr val="tx1"/>
              </a:solidFill>
              <a:latin typeface="Times New Roman"/>
              <a:cs typeface="Times New Roman"/>
            </a:rPr>
            <a:t>relative uncertainty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114300</xdr:colOff>
          <xdr:row>0</xdr:row>
          <xdr:rowOff>9525</xdr:rowOff>
        </xdr:from>
        <xdr:to>
          <xdr:col>6</xdr:col>
          <xdr:colOff>600075</xdr:colOff>
          <xdr:row>1</xdr:row>
          <xdr:rowOff>0</xdr:rowOff>
        </xdr:to>
        <xdr:sp macro="" textlink="">
          <xdr:nvSpPr>
            <xdr:cNvPr id="1182" name="Object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10"/>
  <sheetViews>
    <sheetView tabSelected="1" workbookViewId="0">
      <selection activeCell="I25" sqref="I25"/>
    </sheetView>
  </sheetViews>
  <sheetFormatPr defaultRowHeight="12.75" x14ac:dyDescent="0.2"/>
  <cols>
    <col min="1" max="1" width="9.140625" style="1"/>
    <col min="2" max="3" width="15.85546875" style="15" customWidth="1"/>
    <col min="4" max="4" width="15.42578125" style="15" customWidth="1"/>
    <col min="5" max="7" width="12.5703125" style="39" customWidth="1"/>
    <col min="8" max="8" width="13.28515625" style="40" customWidth="1"/>
    <col min="9" max="9" width="11.7109375" style="35" customWidth="1"/>
    <col min="10" max="10" width="12.42578125" style="31" customWidth="1"/>
    <col min="11" max="12" width="11.7109375" style="23" customWidth="1"/>
    <col min="13" max="13" width="12.85546875" style="11" customWidth="1"/>
    <col min="14" max="14" width="11.5703125" style="11" customWidth="1"/>
    <col min="15" max="15" width="9.5703125" style="7" customWidth="1"/>
    <col min="16" max="16" width="18.28515625" style="15" customWidth="1"/>
    <col min="17" max="17" width="18.28515625" style="16" customWidth="1"/>
    <col min="18" max="16384" width="9.140625" style="7"/>
  </cols>
  <sheetData>
    <row r="1" spans="1:17" ht="45.75" customHeight="1" x14ac:dyDescent="0.25">
      <c r="A1" s="4" t="s">
        <v>1</v>
      </c>
      <c r="B1" s="27"/>
      <c r="C1" s="19"/>
      <c r="D1" s="14"/>
      <c r="E1" s="40"/>
      <c r="F1" s="41"/>
      <c r="G1" s="42"/>
      <c r="I1" s="30"/>
      <c r="M1" s="28"/>
      <c r="N1" s="12"/>
    </row>
    <row r="2" spans="1:17" ht="56.25" customHeight="1" x14ac:dyDescent="0.2">
      <c r="A2" s="6" t="s">
        <v>0</v>
      </c>
      <c r="B2" s="29" t="s">
        <v>2</v>
      </c>
      <c r="C2" s="29" t="s">
        <v>2</v>
      </c>
      <c r="D2" s="29" t="s">
        <v>3</v>
      </c>
      <c r="E2" s="43"/>
      <c r="F2" s="43"/>
      <c r="G2" s="43"/>
      <c r="I2" s="32"/>
      <c r="M2" s="12"/>
      <c r="N2" s="12"/>
    </row>
    <row r="3" spans="1:17" ht="15" x14ac:dyDescent="0.25">
      <c r="A3" s="1">
        <v>4.8000000000000001E-2</v>
      </c>
      <c r="B3" s="15">
        <v>1010</v>
      </c>
      <c r="C3" s="15">
        <v>96</v>
      </c>
      <c r="D3" s="15">
        <v>9.505997228</v>
      </c>
      <c r="E3" s="39">
        <f t="shared" ref="E3:E66" si="0" xml:space="preserve"> H$7/(LN(D3)-H$4)</f>
        <v>240.08098624041708</v>
      </c>
      <c r="F3" s="39">
        <f xml:space="preserve"> E3^2*(1/SQRT(C3)-1/SQRT(B3))/(H$7*SQRT(11*2))</f>
        <v>1.8290821987382331</v>
      </c>
      <c r="G3" s="39">
        <f xml:space="preserve"> E3*(1/SQRT(C3)+1/SQRT(B3))/(H$7*SQRT(11*2))</f>
        <v>1.4410066318448399E-2</v>
      </c>
      <c r="H3" s="41" t="s">
        <v>4</v>
      </c>
      <c r="I3" s="33">
        <v>7.4999999999999997E-2</v>
      </c>
      <c r="J3" s="34">
        <v>262.05</v>
      </c>
      <c r="K3" s="24">
        <v>0.14299999999999999</v>
      </c>
      <c r="L3" s="24">
        <v>264.85000000000002</v>
      </c>
      <c r="M3" s="26">
        <v>0.82</v>
      </c>
      <c r="N3" s="26">
        <v>269.14999999999998</v>
      </c>
    </row>
    <row r="4" spans="1:17" ht="15" x14ac:dyDescent="0.25">
      <c r="A4" s="1">
        <v>7.1999999999999995E-2</v>
      </c>
      <c r="B4" s="15">
        <v>1296.333333</v>
      </c>
      <c r="C4" s="15">
        <v>125.66666669999999</v>
      </c>
      <c r="D4" s="15">
        <v>9.2935285630000006</v>
      </c>
      <c r="E4" s="39">
        <f t="shared" si="0"/>
        <v>242.85978665754428</v>
      </c>
      <c r="F4" s="39">
        <f t="shared" ref="F4:F10" si="1" xml:space="preserve"> E4^2*(1/SQRT(C4)-1/SQRT(B4))/(H$7*SQRT(11*3))</f>
        <v>1.3298080843411282</v>
      </c>
      <c r="G4" s="39">
        <f t="shared" ref="G4:G10" si="2" xml:space="preserve"> E4*(1/SQRT(C4)+1/SQRT(B4))/(H$7*SQRT(11*3))</f>
        <v>1.0426904175085242E-2</v>
      </c>
      <c r="H4" s="41">
        <v>0.27634236299999998</v>
      </c>
      <c r="I4" s="33">
        <v>0.156</v>
      </c>
      <c r="J4" s="34">
        <v>264.85000000000002</v>
      </c>
      <c r="K4" s="24">
        <v>0.19600000000000001</v>
      </c>
      <c r="L4" s="24">
        <v>265.85000000000002</v>
      </c>
      <c r="M4" s="26">
        <v>1.48</v>
      </c>
      <c r="N4" s="26">
        <v>267.14999999999998</v>
      </c>
    </row>
    <row r="5" spans="1:17" ht="15" x14ac:dyDescent="0.25">
      <c r="A5" s="1">
        <v>9.6000000000000002E-2</v>
      </c>
      <c r="B5" s="15">
        <v>1733</v>
      </c>
      <c r="C5" s="15">
        <v>179.33333329999999</v>
      </c>
      <c r="D5" s="15">
        <v>9.1457852329999998</v>
      </c>
      <c r="E5" s="39">
        <f t="shared" si="0"/>
        <v>244.86906194207498</v>
      </c>
      <c r="F5" s="39">
        <f t="shared" si="1"/>
        <v>1.1147027554481002</v>
      </c>
      <c r="G5" s="39">
        <f t="shared" si="2"/>
        <v>8.8699668702565196E-3</v>
      </c>
      <c r="H5" s="44"/>
      <c r="I5" s="33">
        <v>0.216</v>
      </c>
      <c r="J5" s="34">
        <v>265.85000000000002</v>
      </c>
      <c r="K5" s="24">
        <v>0.29099999999999998</v>
      </c>
      <c r="L5" s="24">
        <v>267.75</v>
      </c>
      <c r="M5" s="26">
        <v>2.99</v>
      </c>
      <c r="N5" s="26">
        <v>262.64999999999998</v>
      </c>
      <c r="O5" s="15">
        <v>3</v>
      </c>
      <c r="P5" s="39">
        <f xml:space="preserve"> ABS(N5-E126)</f>
        <v>5.439964204343994</v>
      </c>
      <c r="Q5" s="8"/>
    </row>
    <row r="6" spans="1:17" ht="15" x14ac:dyDescent="0.25">
      <c r="A6" s="1">
        <v>0.12</v>
      </c>
      <c r="B6" s="15">
        <v>2039.333333</v>
      </c>
      <c r="C6" s="15">
        <v>219</v>
      </c>
      <c r="D6" s="15">
        <v>9.066023758</v>
      </c>
      <c r="E6" s="39">
        <f t="shared" si="0"/>
        <v>245.98145081530771</v>
      </c>
      <c r="F6" s="39">
        <f t="shared" si="1"/>
        <v>1.0088708275363576</v>
      </c>
      <c r="G6" s="39">
        <f t="shared" si="2"/>
        <v>8.0997414501520672E-3</v>
      </c>
      <c r="H6" s="41" t="s">
        <v>5</v>
      </c>
      <c r="I6" s="33">
        <v>0.438</v>
      </c>
      <c r="J6" s="34">
        <v>269.14999999999998</v>
      </c>
      <c r="K6" s="24">
        <v>0.49299999999999999</v>
      </c>
      <c r="L6" s="24">
        <v>271.64999999999998</v>
      </c>
      <c r="M6" s="26">
        <v>5.51</v>
      </c>
      <c r="N6" s="26">
        <v>246.65</v>
      </c>
      <c r="O6" s="15">
        <v>5.52</v>
      </c>
      <c r="P6" s="39">
        <f xml:space="preserve"> ABS(N6-E231)</f>
        <v>3.5072291785137679</v>
      </c>
      <c r="Q6" s="8"/>
    </row>
    <row r="7" spans="1:17" ht="15" x14ac:dyDescent="0.25">
      <c r="A7" s="1">
        <v>0.14399999999999999</v>
      </c>
      <c r="B7" s="15">
        <v>2127</v>
      </c>
      <c r="C7" s="15">
        <v>244.66666670000001</v>
      </c>
      <c r="D7" s="15">
        <v>8.9842852660000005</v>
      </c>
      <c r="E7" s="39">
        <f t="shared" si="0"/>
        <v>247.14228948194028</v>
      </c>
      <c r="F7" s="39">
        <f t="shared" si="1"/>
        <v>0.94709616037116096</v>
      </c>
      <c r="G7" s="39">
        <f t="shared" si="2"/>
        <v>7.7657322709023769E-3</v>
      </c>
      <c r="H7" s="41">
        <v>474.29932050000002</v>
      </c>
      <c r="I7" s="33">
        <v>0.55100000000000005</v>
      </c>
      <c r="J7" s="34">
        <v>270.85000000000002</v>
      </c>
      <c r="K7" s="24">
        <v>0.55100000000000005</v>
      </c>
      <c r="L7" s="24">
        <v>271.35000000000002</v>
      </c>
      <c r="M7" s="26">
        <v>7.09</v>
      </c>
      <c r="N7" s="26">
        <v>235.65</v>
      </c>
      <c r="O7" s="15">
        <v>7.08</v>
      </c>
      <c r="P7" s="39">
        <f xml:space="preserve"> ABS(N7-E296)</f>
        <v>3.8328761699618497</v>
      </c>
      <c r="Q7" s="8"/>
    </row>
    <row r="8" spans="1:17" x14ac:dyDescent="0.2">
      <c r="A8" s="1">
        <v>0.16800000000000001</v>
      </c>
      <c r="B8" s="15">
        <v>2101.333333</v>
      </c>
      <c r="C8" s="15">
        <v>246.33333329999999</v>
      </c>
      <c r="D8" s="15">
        <v>8.9378304639999993</v>
      </c>
      <c r="E8" s="39">
        <f t="shared" si="0"/>
        <v>247.81169403801476</v>
      </c>
      <c r="F8" s="39">
        <f t="shared" si="1"/>
        <v>0.94437516752669304</v>
      </c>
      <c r="G8" s="39">
        <f t="shared" si="2"/>
        <v>7.7790697697040891E-3</v>
      </c>
      <c r="I8" s="33">
        <v>0.82599999999999996</v>
      </c>
      <c r="J8" s="34">
        <v>268.45</v>
      </c>
      <c r="K8" s="24">
        <v>0.81200000000000006</v>
      </c>
      <c r="L8" s="24">
        <v>270.25</v>
      </c>
      <c r="M8" s="26">
        <v>9.01</v>
      </c>
      <c r="N8" s="26">
        <v>219.15</v>
      </c>
      <c r="O8" s="15">
        <v>9</v>
      </c>
      <c r="P8" s="39">
        <f xml:space="preserve"> ABS(N8-E376)</f>
        <v>0.62370647590822159</v>
      </c>
      <c r="Q8" s="8"/>
    </row>
    <row r="9" spans="1:17" x14ac:dyDescent="0.2">
      <c r="A9" s="1">
        <v>0.192</v>
      </c>
      <c r="B9" s="15">
        <v>1999.333333</v>
      </c>
      <c r="C9" s="15">
        <v>249.33333329999999</v>
      </c>
      <c r="D9" s="15">
        <v>8.7453292810000001</v>
      </c>
      <c r="E9" s="39">
        <f t="shared" si="0"/>
        <v>250.6632416722573</v>
      </c>
      <c r="F9" s="39">
        <f t="shared" si="1"/>
        <v>0.94469495973205908</v>
      </c>
      <c r="G9" s="39">
        <f t="shared" si="2"/>
        <v>7.8837693751424315E-3</v>
      </c>
      <c r="H9" s="39"/>
      <c r="I9" s="33">
        <v>0.95599999999999996</v>
      </c>
      <c r="J9" s="34">
        <v>267.45</v>
      </c>
      <c r="K9" s="24">
        <v>1.212</v>
      </c>
      <c r="L9" s="24">
        <v>267.05</v>
      </c>
      <c r="M9" s="26">
        <v>11.62</v>
      </c>
      <c r="N9" s="26">
        <v>211.65</v>
      </c>
      <c r="O9" s="15">
        <v>11.616</v>
      </c>
      <c r="P9" s="39">
        <f xml:space="preserve"> ABS(N9-E485)</f>
        <v>1.7360117214355739</v>
      </c>
      <c r="Q9" s="8"/>
    </row>
    <row r="10" spans="1:17" x14ac:dyDescent="0.2">
      <c r="A10" s="1">
        <v>0.216</v>
      </c>
      <c r="B10" s="15">
        <v>1914.333333</v>
      </c>
      <c r="C10" s="15">
        <v>236</v>
      </c>
      <c r="D10" s="15">
        <v>8.5770366469999999</v>
      </c>
      <c r="E10" s="39">
        <f t="shared" si="0"/>
        <v>253.26407970385597</v>
      </c>
      <c r="F10" s="39">
        <f t="shared" si="1"/>
        <v>0.99437598695492102</v>
      </c>
      <c r="G10" s="39">
        <f t="shared" si="2"/>
        <v>8.175228083909452E-3</v>
      </c>
      <c r="H10" s="39"/>
      <c r="I10" s="33">
        <v>1.351</v>
      </c>
      <c r="J10" s="34">
        <v>268.25</v>
      </c>
      <c r="K10" s="24">
        <v>1.2569999999999999</v>
      </c>
      <c r="L10" s="24">
        <v>266.64999999999998</v>
      </c>
      <c r="M10" s="13"/>
      <c r="N10" s="13"/>
    </row>
    <row r="11" spans="1:17" x14ac:dyDescent="0.2">
      <c r="A11" s="1">
        <v>0.24</v>
      </c>
      <c r="B11" s="15">
        <v>1882.8</v>
      </c>
      <c r="C11" s="15">
        <v>223.4</v>
      </c>
      <c r="D11" s="15">
        <v>8.4357506210000004</v>
      </c>
      <c r="E11" s="39">
        <f t="shared" si="0"/>
        <v>255.5304321222383</v>
      </c>
      <c r="F11" s="39">
        <f t="shared" ref="F11:F20" si="3" xml:space="preserve"> E11^2*(1/SQRT(C11)-1/SQRT(B11))/(H$7*SQRT(11*5))</f>
        <v>0.81415793535093472</v>
      </c>
      <c r="G11" s="39">
        <f t="shared" ref="G11:G20" si="4" xml:space="preserve"> E11*(1/SQRT(C11)+1/SQRT(B11))/(H$7*SQRT(11*5))</f>
        <v>6.5345436132574703E-3</v>
      </c>
      <c r="I11" s="33">
        <v>1.4630000000000001</v>
      </c>
      <c r="J11" s="34">
        <v>268.64999999999998</v>
      </c>
      <c r="K11" s="24">
        <v>1.474</v>
      </c>
      <c r="L11" s="24">
        <v>266.45</v>
      </c>
      <c r="M11" s="10"/>
      <c r="N11" s="10"/>
    </row>
    <row r="12" spans="1:17" x14ac:dyDescent="0.2">
      <c r="A12" s="1">
        <v>0.26400000000000001</v>
      </c>
      <c r="B12" s="15">
        <v>1818</v>
      </c>
      <c r="C12" s="15">
        <v>220.4</v>
      </c>
      <c r="D12" s="15">
        <v>8.3412517420000007</v>
      </c>
      <c r="E12" s="39">
        <f t="shared" si="0"/>
        <v>257.09078749647102</v>
      </c>
      <c r="F12" s="39">
        <f t="shared" si="3"/>
        <v>0.82500841695834548</v>
      </c>
      <c r="G12" s="39">
        <f t="shared" si="4"/>
        <v>6.637370376654874E-3</v>
      </c>
      <c r="I12" s="33">
        <v>1.5</v>
      </c>
      <c r="J12" s="34">
        <v>268.45</v>
      </c>
      <c r="K12" s="24">
        <v>1.847</v>
      </c>
      <c r="L12" s="24">
        <v>265.35000000000002</v>
      </c>
      <c r="M12" s="10"/>
      <c r="N12" s="10"/>
    </row>
    <row r="13" spans="1:17" x14ac:dyDescent="0.2">
      <c r="A13" s="1">
        <v>0.28799999999999998</v>
      </c>
      <c r="B13" s="15">
        <v>1776</v>
      </c>
      <c r="C13" s="15">
        <v>209.6</v>
      </c>
      <c r="D13" s="15">
        <v>8.3047937550000004</v>
      </c>
      <c r="E13" s="39">
        <f t="shared" si="0"/>
        <v>257.70266603702424</v>
      </c>
      <c r="F13" s="39">
        <f t="shared" si="3"/>
        <v>0.85608769560966824</v>
      </c>
      <c r="G13" s="39">
        <f t="shared" si="4"/>
        <v>6.7989088652668462E-3</v>
      </c>
      <c r="I13" s="33">
        <v>1.6759999999999999</v>
      </c>
      <c r="J13" s="34">
        <v>267.14999999999998</v>
      </c>
      <c r="K13" s="24">
        <v>2.9769999999999999</v>
      </c>
      <c r="L13" s="24">
        <v>261.85000000000002</v>
      </c>
      <c r="M13" s="10"/>
      <c r="N13" s="10"/>
    </row>
    <row r="14" spans="1:17" x14ac:dyDescent="0.2">
      <c r="A14" s="1">
        <v>0.312</v>
      </c>
      <c r="B14" s="15">
        <v>1721</v>
      </c>
      <c r="C14" s="15">
        <v>204.8</v>
      </c>
      <c r="D14" s="15">
        <v>8.288749803</v>
      </c>
      <c r="E14" s="39">
        <f t="shared" si="0"/>
        <v>257.9737127896945</v>
      </c>
      <c r="F14" s="39">
        <f t="shared" si="3"/>
        <v>0.86599792312987167</v>
      </c>
      <c r="G14" s="39">
        <f t="shared" si="4"/>
        <v>6.892670013887727E-3</v>
      </c>
      <c r="I14" s="33">
        <v>1.895</v>
      </c>
      <c r="J14" s="34">
        <v>265.45</v>
      </c>
      <c r="K14" s="24">
        <v>3.3690000000000002</v>
      </c>
      <c r="L14" s="24">
        <v>261.05</v>
      </c>
      <c r="M14" s="10"/>
      <c r="N14" s="10"/>
    </row>
    <row r="15" spans="1:17" x14ac:dyDescent="0.2">
      <c r="A15" s="1">
        <v>0.33600000000000002</v>
      </c>
      <c r="B15" s="15">
        <v>1665.8</v>
      </c>
      <c r="C15" s="15">
        <v>196.8</v>
      </c>
      <c r="D15" s="15">
        <v>8.2957246680000001</v>
      </c>
      <c r="E15" s="39">
        <f t="shared" si="0"/>
        <v>257.85574488202536</v>
      </c>
      <c r="F15" s="39">
        <f t="shared" si="3"/>
        <v>0.8842973600345061</v>
      </c>
      <c r="G15" s="39">
        <f t="shared" si="4"/>
        <v>7.0216350965514865E-3</v>
      </c>
      <c r="I15" s="33">
        <v>2.0489999999999999</v>
      </c>
      <c r="J15" s="34">
        <v>265.64999999999998</v>
      </c>
      <c r="K15" s="24">
        <v>3.5529999999999999</v>
      </c>
      <c r="L15" s="24">
        <v>260.05</v>
      </c>
      <c r="M15" s="10"/>
      <c r="N15" s="10"/>
    </row>
    <row r="16" spans="1:17" x14ac:dyDescent="0.2">
      <c r="A16" s="1">
        <v>0.36</v>
      </c>
      <c r="B16" s="15">
        <v>1600.8</v>
      </c>
      <c r="C16" s="15">
        <v>197.4</v>
      </c>
      <c r="D16" s="15">
        <v>8.305624925</v>
      </c>
      <c r="E16" s="39">
        <f t="shared" si="0"/>
        <v>257.68865400948141</v>
      </c>
      <c r="F16" s="39">
        <f t="shared" si="3"/>
        <v>0.87180788073676496</v>
      </c>
      <c r="G16" s="39">
        <f t="shared" si="4"/>
        <v>7.0452215435181393E-3</v>
      </c>
      <c r="I16" s="33">
        <v>2.5419999999999998</v>
      </c>
      <c r="J16" s="34">
        <v>263.25</v>
      </c>
      <c r="K16" s="24">
        <v>4.2480000000000002</v>
      </c>
      <c r="L16" s="24">
        <v>256.35000000000002</v>
      </c>
      <c r="M16" s="10"/>
      <c r="N16" s="10"/>
    </row>
    <row r="17" spans="1:14" x14ac:dyDescent="0.2">
      <c r="A17" s="1">
        <v>0.38400000000000001</v>
      </c>
      <c r="B17" s="15">
        <v>1578.4</v>
      </c>
      <c r="C17" s="15">
        <v>190.8</v>
      </c>
      <c r="D17" s="15">
        <v>8.3096879099999992</v>
      </c>
      <c r="E17" s="39">
        <f t="shared" si="0"/>
        <v>257.62020149420903</v>
      </c>
      <c r="F17" s="39">
        <f t="shared" si="3"/>
        <v>0.89103957171716885</v>
      </c>
      <c r="G17" s="39">
        <f t="shared" si="4"/>
        <v>7.145685683973297E-3</v>
      </c>
      <c r="I17" s="33">
        <v>2.9449999999999998</v>
      </c>
      <c r="J17" s="34">
        <v>263.85000000000002</v>
      </c>
      <c r="K17" s="24">
        <v>4.2990000000000004</v>
      </c>
      <c r="L17" s="24">
        <v>256.05</v>
      </c>
      <c r="M17" s="10"/>
      <c r="N17" s="10"/>
    </row>
    <row r="18" spans="1:14" x14ac:dyDescent="0.2">
      <c r="A18" s="1">
        <v>0.40799999999999997</v>
      </c>
      <c r="B18" s="15">
        <v>1554</v>
      </c>
      <c r="C18" s="15">
        <v>187.4</v>
      </c>
      <c r="D18" s="15">
        <v>8.3295431410000003</v>
      </c>
      <c r="E18" s="39">
        <f t="shared" si="0"/>
        <v>257.28668553611237</v>
      </c>
      <c r="F18" s="39">
        <f t="shared" si="3"/>
        <v>0.89733333938664916</v>
      </c>
      <c r="G18" s="39">
        <f t="shared" si="4"/>
        <v>7.1986532385016734E-3</v>
      </c>
      <c r="I18" s="33">
        <v>3</v>
      </c>
      <c r="J18" s="34">
        <v>263.64999999999998</v>
      </c>
      <c r="K18" s="24">
        <v>5.49</v>
      </c>
      <c r="L18" s="24">
        <v>246.85</v>
      </c>
      <c r="M18" s="10"/>
      <c r="N18" s="10"/>
    </row>
    <row r="19" spans="1:14" x14ac:dyDescent="0.2">
      <c r="A19" s="1">
        <v>0.432</v>
      </c>
      <c r="B19" s="15">
        <v>1538.8</v>
      </c>
      <c r="C19" s="15">
        <v>184.2</v>
      </c>
      <c r="D19" s="15">
        <v>8.3278932270000006</v>
      </c>
      <c r="E19" s="39">
        <f t="shared" si="0"/>
        <v>257.3143366057397</v>
      </c>
      <c r="F19" s="39">
        <f t="shared" si="3"/>
        <v>0.90706601055011349</v>
      </c>
      <c r="G19" s="39">
        <f t="shared" si="4"/>
        <v>7.2547864375477264E-3</v>
      </c>
      <c r="I19" s="33">
        <v>3.2010000000000001</v>
      </c>
      <c r="J19" s="34">
        <v>263.05</v>
      </c>
      <c r="K19" s="24">
        <v>6.5490000000000004</v>
      </c>
      <c r="L19" s="24">
        <v>239.55</v>
      </c>
      <c r="M19" s="10"/>
      <c r="N19" s="10"/>
    </row>
    <row r="20" spans="1:14" x14ac:dyDescent="0.2">
      <c r="A20" s="1">
        <v>0.45600000000000002</v>
      </c>
      <c r="B20" s="15">
        <v>1526.8</v>
      </c>
      <c r="C20" s="15">
        <v>188.6</v>
      </c>
      <c r="D20" s="15">
        <v>8.3269549450000007</v>
      </c>
      <c r="E20" s="39">
        <f t="shared" si="0"/>
        <v>257.33006646065604</v>
      </c>
      <c r="F20" s="39">
        <f t="shared" si="3"/>
        <v>0.88901900707423653</v>
      </c>
      <c r="G20" s="39">
        <f t="shared" si="4"/>
        <v>7.1992961944545965E-3</v>
      </c>
      <c r="I20" s="33">
        <v>3.5230000000000001</v>
      </c>
      <c r="J20" s="34">
        <v>261.45</v>
      </c>
      <c r="K20" s="24">
        <v>6.649</v>
      </c>
      <c r="L20" s="24">
        <v>238.85</v>
      </c>
      <c r="M20" s="10"/>
      <c r="N20" s="10"/>
    </row>
    <row r="21" spans="1:14" x14ac:dyDescent="0.2">
      <c r="A21" s="1">
        <v>0.48</v>
      </c>
      <c r="B21" s="15">
        <v>1502</v>
      </c>
      <c r="C21" s="15">
        <v>182.7142857</v>
      </c>
      <c r="D21" s="15">
        <v>8.3169737329999993</v>
      </c>
      <c r="E21" s="39">
        <f t="shared" si="0"/>
        <v>257.49762583903947</v>
      </c>
      <c r="F21" s="39">
        <f t="shared" ref="F21:F30" si="5" xml:space="preserve"> E21^2*(1/SQRT(C21)-1/SQRT(B21))/(H$7*SQRT(11*7))</f>
        <v>0.76752092573382091</v>
      </c>
      <c r="G21" s="39">
        <f t="shared" ref="G21:G30" si="6" xml:space="preserve"> E21*(1/SQRT(C21)+1/SQRT(B21))/(H$7*SQRT(11*7))</f>
        <v>6.1734815571976185E-3</v>
      </c>
      <c r="I21" s="33">
        <v>3.798</v>
      </c>
      <c r="J21" s="34">
        <v>260.05</v>
      </c>
      <c r="K21" s="24">
        <v>7.07</v>
      </c>
      <c r="L21" s="24">
        <v>234.85</v>
      </c>
      <c r="M21" s="10"/>
      <c r="N21" s="10"/>
    </row>
    <row r="22" spans="1:14" x14ac:dyDescent="0.2">
      <c r="A22" s="1">
        <v>0.504</v>
      </c>
      <c r="B22" s="15">
        <v>1503.2857140000001</v>
      </c>
      <c r="C22" s="15">
        <v>177.42857140000001</v>
      </c>
      <c r="D22" s="15">
        <v>8.3337163840000006</v>
      </c>
      <c r="E22" s="39">
        <f t="shared" si="0"/>
        <v>257.21679669242832</v>
      </c>
      <c r="F22" s="39">
        <f t="shared" si="5"/>
        <v>0.7834117946023883</v>
      </c>
      <c r="G22" s="39">
        <f t="shared" si="6"/>
        <v>6.233669698020341E-3</v>
      </c>
      <c r="I22" s="33">
        <v>4.3609999999999998</v>
      </c>
      <c r="J22" s="34">
        <v>256.05</v>
      </c>
      <c r="K22" s="24">
        <v>7.8810000000000002</v>
      </c>
      <c r="L22" s="24">
        <v>228.25</v>
      </c>
      <c r="M22" s="10"/>
      <c r="N22" s="10"/>
    </row>
    <row r="23" spans="1:14" x14ac:dyDescent="0.2">
      <c r="A23" s="1">
        <v>0.52800000000000002</v>
      </c>
      <c r="B23" s="15">
        <v>1486.5714290000001</v>
      </c>
      <c r="C23" s="15">
        <v>175.57142859999999</v>
      </c>
      <c r="D23" s="15">
        <v>8.3297031149999992</v>
      </c>
      <c r="E23" s="39">
        <f t="shared" si="0"/>
        <v>257.2840051235213</v>
      </c>
      <c r="F23" s="39">
        <f t="shared" si="5"/>
        <v>0.78782003328041739</v>
      </c>
      <c r="G23" s="39">
        <f t="shared" si="6"/>
        <v>6.2687172316637282E-3</v>
      </c>
      <c r="I23" s="33">
        <v>5.2519999999999998</v>
      </c>
      <c r="J23" s="34">
        <v>249.65</v>
      </c>
      <c r="K23" s="24">
        <v>8.98</v>
      </c>
      <c r="L23" s="24">
        <v>219.25</v>
      </c>
      <c r="M23" s="10"/>
      <c r="N23" s="10"/>
    </row>
    <row r="24" spans="1:14" x14ac:dyDescent="0.2">
      <c r="A24" s="1">
        <v>0.55200000000000005</v>
      </c>
      <c r="B24" s="15">
        <v>1494.142857</v>
      </c>
      <c r="C24" s="15">
        <v>176.7142857</v>
      </c>
      <c r="D24" s="15">
        <v>8.3204094380000004</v>
      </c>
      <c r="E24" s="39">
        <f t="shared" si="0"/>
        <v>257.43990170353118</v>
      </c>
      <c r="F24" s="39">
        <f t="shared" si="5"/>
        <v>0.7859303951731258</v>
      </c>
      <c r="G24" s="39">
        <f t="shared" si="6"/>
        <v>6.2533258979980792E-3</v>
      </c>
      <c r="I24" s="33">
        <v>5.53</v>
      </c>
      <c r="J24" s="34">
        <v>247.65</v>
      </c>
      <c r="K24" s="24">
        <v>9.0879999999999992</v>
      </c>
      <c r="L24" s="24">
        <v>217.65</v>
      </c>
      <c r="M24" s="10"/>
      <c r="N24" s="10"/>
    </row>
    <row r="25" spans="1:14" x14ac:dyDescent="0.2">
      <c r="A25" s="1">
        <v>0.57599999999999996</v>
      </c>
      <c r="B25" s="15">
        <v>1507.142857</v>
      </c>
      <c r="C25" s="15">
        <v>179.57142859999999</v>
      </c>
      <c r="D25" s="15">
        <v>8.3091367040000002</v>
      </c>
      <c r="E25" s="39">
        <f t="shared" si="0"/>
        <v>257.62948402940168</v>
      </c>
      <c r="F25" s="39">
        <f t="shared" si="5"/>
        <v>0.77928945762936952</v>
      </c>
      <c r="G25" s="39">
        <f t="shared" si="6"/>
        <v>6.2138161538623643E-3</v>
      </c>
      <c r="I25" s="33">
        <v>5.72</v>
      </c>
      <c r="J25" s="34">
        <v>246.45</v>
      </c>
      <c r="K25" s="24">
        <v>10.031000000000001</v>
      </c>
      <c r="L25" s="24">
        <v>211.75</v>
      </c>
      <c r="M25" s="10"/>
      <c r="N25" s="10"/>
    </row>
    <row r="26" spans="1:14" x14ac:dyDescent="0.2">
      <c r="A26" s="1">
        <v>0.6</v>
      </c>
      <c r="B26" s="15">
        <v>1531.2857140000001</v>
      </c>
      <c r="C26" s="15">
        <v>183.2857143</v>
      </c>
      <c r="D26" s="15">
        <v>8.3344428290000003</v>
      </c>
      <c r="E26" s="39">
        <f t="shared" si="0"/>
        <v>257.20463845237077</v>
      </c>
      <c r="F26" s="39">
        <f t="shared" si="5"/>
        <v>0.76788163124018194</v>
      </c>
      <c r="G26" s="39">
        <f t="shared" si="6"/>
        <v>6.1440030874511655E-3</v>
      </c>
      <c r="I26" s="33">
        <v>5.9909999999999997</v>
      </c>
      <c r="J26" s="34">
        <v>244.65</v>
      </c>
      <c r="K26" s="24">
        <v>10.081</v>
      </c>
      <c r="L26" s="24">
        <v>211.45</v>
      </c>
      <c r="M26" s="10"/>
      <c r="N26" s="10"/>
    </row>
    <row r="27" spans="1:14" x14ac:dyDescent="0.2">
      <c r="A27" s="3">
        <v>0.624</v>
      </c>
      <c r="B27" s="15">
        <v>1590</v>
      </c>
      <c r="C27" s="15">
        <v>191.7142857</v>
      </c>
      <c r="D27" s="15">
        <v>8.3515544760000004</v>
      </c>
      <c r="E27" s="39">
        <f t="shared" si="0"/>
        <v>256.9188845874275</v>
      </c>
      <c r="F27" s="39">
        <f t="shared" si="5"/>
        <v>0.74768911246575698</v>
      </c>
      <c r="G27" s="39">
        <f t="shared" si="6"/>
        <v>6.0064188978781255E-3</v>
      </c>
      <c r="I27" s="33">
        <v>6.1920000000000002</v>
      </c>
      <c r="J27" s="34">
        <v>243.05</v>
      </c>
      <c r="K27" s="24">
        <v>10.130000000000001</v>
      </c>
      <c r="L27" s="24">
        <v>211.65</v>
      </c>
      <c r="M27" s="10"/>
      <c r="N27" s="10"/>
    </row>
    <row r="28" spans="1:14" x14ac:dyDescent="0.2">
      <c r="A28" s="5">
        <v>0.64800000000000002</v>
      </c>
      <c r="B28" s="15">
        <v>1672.7142859999999</v>
      </c>
      <c r="C28" s="15">
        <v>203.2857143</v>
      </c>
      <c r="D28" s="15">
        <v>8.3527267849999998</v>
      </c>
      <c r="E28" s="39">
        <f t="shared" si="0"/>
        <v>256.89935240209263</v>
      </c>
      <c r="F28" s="39">
        <f t="shared" si="5"/>
        <v>0.72445991847703861</v>
      </c>
      <c r="G28" s="39">
        <f t="shared" si="6"/>
        <v>5.8384664587998736E-3</v>
      </c>
      <c r="I28" s="33">
        <v>6.9029999999999996</v>
      </c>
      <c r="J28" s="34">
        <v>237.45</v>
      </c>
      <c r="K28" s="24">
        <v>10.435</v>
      </c>
      <c r="L28" s="24">
        <v>211.95</v>
      </c>
      <c r="M28" s="10"/>
      <c r="N28" s="10"/>
    </row>
    <row r="29" spans="1:14" x14ac:dyDescent="0.2">
      <c r="A29" s="5">
        <v>0.67200000000000004</v>
      </c>
      <c r="B29" s="15">
        <v>1765.5714290000001</v>
      </c>
      <c r="C29" s="15">
        <v>215.57142859999999</v>
      </c>
      <c r="D29" s="15">
        <v>8.3704697810000006</v>
      </c>
      <c r="E29" s="39">
        <f t="shared" si="0"/>
        <v>256.60442680314407</v>
      </c>
      <c r="F29" s="39">
        <f t="shared" si="5"/>
        <v>0.70102376659729027</v>
      </c>
      <c r="G29" s="39">
        <f t="shared" si="6"/>
        <v>5.6665557646826438E-3</v>
      </c>
      <c r="I29" s="33">
        <v>7.11</v>
      </c>
      <c r="J29" s="34">
        <v>235.85</v>
      </c>
      <c r="K29" s="24">
        <v>10.54</v>
      </c>
      <c r="L29" s="24">
        <v>212.05</v>
      </c>
      <c r="M29" s="10"/>
      <c r="N29" s="10"/>
    </row>
    <row r="30" spans="1:14" x14ac:dyDescent="0.2">
      <c r="A30" s="1">
        <v>0.69599999999999995</v>
      </c>
      <c r="B30" s="15">
        <v>1907</v>
      </c>
      <c r="C30" s="15">
        <v>231.7142857</v>
      </c>
      <c r="D30" s="15">
        <v>8.3891659890000003</v>
      </c>
      <c r="E30" s="39">
        <f t="shared" si="0"/>
        <v>256.29506192206702</v>
      </c>
      <c r="F30" s="39">
        <f t="shared" si="5"/>
        <v>0.67541087414714407</v>
      </c>
      <c r="G30" s="39">
        <f t="shared" si="6"/>
        <v>5.4555974733175765E-3</v>
      </c>
      <c r="I30" s="33">
        <v>7.7709999999999999</v>
      </c>
      <c r="J30" s="34">
        <v>230.05</v>
      </c>
      <c r="K30" s="24">
        <v>11.52</v>
      </c>
      <c r="L30" s="24">
        <v>214.65</v>
      </c>
      <c r="M30" s="10"/>
      <c r="N30" s="10"/>
    </row>
    <row r="31" spans="1:14" x14ac:dyDescent="0.2">
      <c r="A31" s="1">
        <v>0.72</v>
      </c>
      <c r="B31" s="15">
        <v>2145.5555559999998</v>
      </c>
      <c r="C31" s="15">
        <v>256.22222219999998</v>
      </c>
      <c r="D31" s="15">
        <v>8.4205344419999992</v>
      </c>
      <c r="E31" s="39">
        <f t="shared" si="0"/>
        <v>255.77922001441709</v>
      </c>
      <c r="F31" s="39">
        <f t="shared" ref="F31:F40" si="7" xml:space="preserve"> E31^2*(1/SQRT(C31)-1/SQRT(B31))/(H$7*SQRT(11*9))</f>
        <v>0.56677920834908113</v>
      </c>
      <c r="G31" s="39">
        <f t="shared" ref="G31:G40" si="8" xml:space="preserve"> E31*(1/SQRT(C31)+1/SQRT(B31))/(H$7*SQRT(11*9))</f>
        <v>4.5561046958152831E-3</v>
      </c>
      <c r="I31" s="33">
        <v>8.0350000000000001</v>
      </c>
      <c r="J31" s="34">
        <v>228.45</v>
      </c>
      <c r="K31" s="24">
        <v>11.712999999999999</v>
      </c>
      <c r="L31" s="24">
        <v>215.45</v>
      </c>
      <c r="M31" s="10"/>
      <c r="N31" s="10"/>
    </row>
    <row r="32" spans="1:14" x14ac:dyDescent="0.2">
      <c r="A32" s="1">
        <v>0.74399999999999999</v>
      </c>
      <c r="B32" s="15">
        <v>2359.1111110000002</v>
      </c>
      <c r="C32" s="15">
        <v>280.55555559999999</v>
      </c>
      <c r="D32" s="15">
        <v>8.4579596020000007</v>
      </c>
      <c r="E32" s="39">
        <f t="shared" si="0"/>
        <v>255.16897911618031</v>
      </c>
      <c r="F32" s="39">
        <f t="shared" si="7"/>
        <v>0.5396526637077893</v>
      </c>
      <c r="G32" s="39">
        <f t="shared" si="8"/>
        <v>4.3413367169659071E-3</v>
      </c>
      <c r="I32" s="33">
        <v>9.0299999999999994</v>
      </c>
      <c r="J32" s="34">
        <v>221.65</v>
      </c>
      <c r="K32" s="24">
        <v>12.151</v>
      </c>
      <c r="L32" s="24">
        <v>215.35</v>
      </c>
      <c r="M32" s="10"/>
      <c r="N32" s="10"/>
    </row>
    <row r="33" spans="1:14" x14ac:dyDescent="0.2">
      <c r="A33" s="1">
        <v>0.76800000000000002</v>
      </c>
      <c r="B33" s="15">
        <v>2637.1111110000002</v>
      </c>
      <c r="C33" s="15">
        <v>310.77777780000002</v>
      </c>
      <c r="D33" s="15">
        <v>8.4993583539999999</v>
      </c>
      <c r="E33" s="39">
        <f t="shared" si="0"/>
        <v>254.50044302080525</v>
      </c>
      <c r="F33" s="39">
        <f t="shared" si="7"/>
        <v>0.51127650958829485</v>
      </c>
      <c r="G33" s="39">
        <f t="shared" si="8"/>
        <v>4.1092555164715626E-3</v>
      </c>
      <c r="I33" s="33">
        <v>10.19</v>
      </c>
      <c r="J33" s="34">
        <v>213.05</v>
      </c>
      <c r="K33" s="24">
        <v>12.585000000000001</v>
      </c>
      <c r="L33" s="24">
        <v>215.25</v>
      </c>
      <c r="M33" s="10"/>
      <c r="N33" s="10"/>
    </row>
    <row r="34" spans="1:14" x14ac:dyDescent="0.2">
      <c r="A34" s="1">
        <v>0.79200000000000004</v>
      </c>
      <c r="B34" s="15">
        <v>2957.666667</v>
      </c>
      <c r="C34" s="15">
        <v>341.44444440000001</v>
      </c>
      <c r="D34" s="15">
        <v>8.5523986409999999</v>
      </c>
      <c r="E34" s="39">
        <f t="shared" si="0"/>
        <v>253.65371215857928</v>
      </c>
      <c r="F34" s="39">
        <f t="shared" si="7"/>
        <v>0.48713280536952208</v>
      </c>
      <c r="G34" s="39">
        <f t="shared" si="8"/>
        <v>3.8970990404868597E-3</v>
      </c>
      <c r="I34" s="33">
        <v>10.315</v>
      </c>
      <c r="J34" s="34">
        <v>212.25</v>
      </c>
      <c r="K34" s="24">
        <v>13.051</v>
      </c>
      <c r="L34" s="24">
        <v>215.15</v>
      </c>
      <c r="M34" s="10"/>
      <c r="N34" s="10"/>
    </row>
    <row r="35" spans="1:14" x14ac:dyDescent="0.2">
      <c r="A35" s="1">
        <v>0.81599999999999995</v>
      </c>
      <c r="B35" s="15">
        <v>3330.5555559999998</v>
      </c>
      <c r="C35" s="15">
        <v>384.55555559999999</v>
      </c>
      <c r="D35" s="15">
        <v>8.5987773589999996</v>
      </c>
      <c r="E35" s="39">
        <f t="shared" si="0"/>
        <v>252.92218318421118</v>
      </c>
      <c r="F35" s="39">
        <f t="shared" si="7"/>
        <v>0.45635292279499934</v>
      </c>
      <c r="G35" s="39">
        <f t="shared" si="8"/>
        <v>3.6616489067662723E-3</v>
      </c>
      <c r="I35" s="33">
        <v>10.896000000000001</v>
      </c>
      <c r="J35" s="34">
        <v>208.45</v>
      </c>
      <c r="K35" s="24">
        <v>13.34</v>
      </c>
      <c r="L35" s="24">
        <v>215.05</v>
      </c>
      <c r="M35" s="10"/>
      <c r="N35" s="10"/>
    </row>
    <row r="36" spans="1:14" x14ac:dyDescent="0.2">
      <c r="A36" s="1">
        <v>0.84</v>
      </c>
      <c r="B36" s="15">
        <v>3758.333333</v>
      </c>
      <c r="C36" s="15">
        <v>430.11111110000002</v>
      </c>
      <c r="D36" s="15">
        <v>8.6313313180000009</v>
      </c>
      <c r="E36" s="39">
        <f t="shared" si="0"/>
        <v>252.41356320598842</v>
      </c>
      <c r="F36" s="39">
        <f t="shared" si="7"/>
        <v>0.43075550990478428</v>
      </c>
      <c r="G36" s="39">
        <f t="shared" si="8"/>
        <v>3.4514642572723311E-3</v>
      </c>
      <c r="I36" s="33">
        <v>11.175000000000001</v>
      </c>
      <c r="J36" s="34">
        <v>207.85</v>
      </c>
      <c r="K36" s="24">
        <v>15.89</v>
      </c>
      <c r="L36" s="24">
        <v>213.45</v>
      </c>
      <c r="M36" s="9"/>
      <c r="N36" s="9"/>
    </row>
    <row r="37" spans="1:14" x14ac:dyDescent="0.2">
      <c r="A37" s="1">
        <v>0.86399999999999999</v>
      </c>
      <c r="B37" s="15">
        <v>4239</v>
      </c>
      <c r="C37" s="15">
        <v>483.55555559999999</v>
      </c>
      <c r="D37" s="15">
        <v>8.6432606760000006</v>
      </c>
      <c r="E37" s="39">
        <f t="shared" si="0"/>
        <v>252.22817029971438</v>
      </c>
      <c r="F37" s="39">
        <f t="shared" si="7"/>
        <v>0.40599233556912939</v>
      </c>
      <c r="G37" s="39">
        <f t="shared" si="8"/>
        <v>3.2514290510345487E-3</v>
      </c>
      <c r="I37" s="33">
        <v>11.56</v>
      </c>
      <c r="J37" s="34">
        <v>209.25</v>
      </c>
      <c r="K37" s="24">
        <v>16.757000000000001</v>
      </c>
      <c r="L37" s="24">
        <v>212.35</v>
      </c>
      <c r="M37" s="9"/>
      <c r="N37" s="9"/>
    </row>
    <row r="38" spans="1:14" x14ac:dyDescent="0.2">
      <c r="A38" s="1">
        <v>0.88800000000000001</v>
      </c>
      <c r="B38" s="15">
        <v>4755.5555560000003</v>
      </c>
      <c r="C38" s="15">
        <v>543.55555560000005</v>
      </c>
      <c r="D38" s="15">
        <v>8.6436553010000008</v>
      </c>
      <c r="E38" s="39">
        <f t="shared" si="0"/>
        <v>252.22204649684818</v>
      </c>
      <c r="F38" s="39">
        <f t="shared" si="7"/>
        <v>0.38271772348299765</v>
      </c>
      <c r="G38" s="39">
        <f t="shared" si="8"/>
        <v>3.0674219805101812E-3</v>
      </c>
      <c r="I38" s="33">
        <v>12.042</v>
      </c>
      <c r="J38" s="34">
        <v>210.25</v>
      </c>
      <c r="M38" s="9"/>
      <c r="N38" s="9"/>
    </row>
    <row r="39" spans="1:14" x14ac:dyDescent="0.2">
      <c r="A39" s="1">
        <v>0.91200000000000003</v>
      </c>
      <c r="B39" s="15">
        <v>5328.2222220000003</v>
      </c>
      <c r="C39" s="15">
        <v>604.66666669999995</v>
      </c>
      <c r="D39" s="15">
        <v>8.6291793049999992</v>
      </c>
      <c r="E39" s="39">
        <f t="shared" si="0"/>
        <v>252.44706374215357</v>
      </c>
      <c r="F39" s="39">
        <f t="shared" si="7"/>
        <v>0.36417398376050097</v>
      </c>
      <c r="G39" s="39">
        <f t="shared" si="8"/>
        <v>2.9082552763059866E-3</v>
      </c>
      <c r="I39" s="33">
        <v>12.457000000000001</v>
      </c>
      <c r="J39" s="34">
        <v>211.05</v>
      </c>
      <c r="M39" s="9"/>
      <c r="N39" s="9"/>
    </row>
    <row r="40" spans="1:14" x14ac:dyDescent="0.2">
      <c r="A40" s="1">
        <v>0.93600000000000005</v>
      </c>
      <c r="B40" s="15">
        <v>5939.4444439999997</v>
      </c>
      <c r="C40" s="15">
        <v>682.66666669999995</v>
      </c>
      <c r="D40" s="15">
        <v>8.5929573930000007</v>
      </c>
      <c r="E40" s="39">
        <f t="shared" si="0"/>
        <v>253.01353326353691</v>
      </c>
      <c r="F40" s="39">
        <f t="shared" si="7"/>
        <v>0.3431612456619757</v>
      </c>
      <c r="G40" s="39">
        <f t="shared" si="8"/>
        <v>2.7476278862469689E-3</v>
      </c>
      <c r="I40" s="33">
        <v>13.34</v>
      </c>
      <c r="J40" s="34">
        <v>212.85</v>
      </c>
    </row>
    <row r="41" spans="1:14" x14ac:dyDescent="0.2">
      <c r="A41" s="1">
        <v>0.96</v>
      </c>
      <c r="B41" s="15">
        <v>6680.7272730000004</v>
      </c>
      <c r="C41" s="15">
        <v>777.90909090000002</v>
      </c>
      <c r="D41" s="15">
        <v>8.5523040990000005</v>
      </c>
      <c r="E41" s="39">
        <f t="shared" si="0"/>
        <v>253.65521174590111</v>
      </c>
      <c r="F41" s="39">
        <f t="shared" ref="F41:F50" si="9" xml:space="preserve"> E41^2*(1/SQRT(C41)-1/SQRT(B41))/(H$7*SQRT(11*11))</f>
        <v>0.29127889163683723</v>
      </c>
      <c r="G41" s="39">
        <f t="shared" ref="G41:G50" si="10" xml:space="preserve"> E41*(1/SQRT(C41)+1/SQRT(B41))/(H$7*SQRT(11*11))</f>
        <v>2.3379692670292438E-3</v>
      </c>
      <c r="I41" s="33">
        <v>13.551</v>
      </c>
      <c r="J41" s="34">
        <v>213.45</v>
      </c>
    </row>
    <row r="42" spans="1:14" x14ac:dyDescent="0.2">
      <c r="A42" s="1">
        <v>0.98399999999999999</v>
      </c>
      <c r="B42" s="15">
        <v>7377.7272730000004</v>
      </c>
      <c r="C42" s="15">
        <v>867.45454549999999</v>
      </c>
      <c r="D42" s="15">
        <v>8.4980679670000008</v>
      </c>
      <c r="E42" s="39">
        <f t="shared" si="0"/>
        <v>254.5211791063102</v>
      </c>
      <c r="F42" s="39">
        <f t="shared" si="9"/>
        <v>0.27702157708720232</v>
      </c>
      <c r="G42" s="39">
        <f t="shared" si="10"/>
        <v>2.2243220403169155E-3</v>
      </c>
      <c r="I42" s="33">
        <v>14.042</v>
      </c>
      <c r="J42" s="34">
        <v>212.95</v>
      </c>
    </row>
    <row r="43" spans="1:14" x14ac:dyDescent="0.2">
      <c r="A43" s="1">
        <v>1.008</v>
      </c>
      <c r="B43" s="15">
        <v>8097.181818</v>
      </c>
      <c r="C43" s="15">
        <v>962.45454549999999</v>
      </c>
      <c r="D43" s="15">
        <v>8.436097041</v>
      </c>
      <c r="E43" s="39">
        <f t="shared" si="0"/>
        <v>255.52477893388192</v>
      </c>
      <c r="F43" s="39">
        <f t="shared" si="9"/>
        <v>0.26431866346571842</v>
      </c>
      <c r="G43" s="39">
        <f t="shared" si="10"/>
        <v>2.1229712671344994E-3</v>
      </c>
      <c r="I43" s="33">
        <v>15.86</v>
      </c>
      <c r="J43" s="34">
        <v>211.25</v>
      </c>
    </row>
    <row r="44" spans="1:14" x14ac:dyDescent="0.2">
      <c r="A44" s="1">
        <v>1.032</v>
      </c>
      <c r="B44" s="15">
        <v>8841</v>
      </c>
      <c r="C44" s="15">
        <v>1061.818182</v>
      </c>
      <c r="D44" s="15">
        <v>8.3675870490000008</v>
      </c>
      <c r="E44" s="39">
        <f t="shared" si="0"/>
        <v>256.65225521469483</v>
      </c>
      <c r="F44" s="39">
        <f t="shared" si="9"/>
        <v>0.25317905111294331</v>
      </c>
      <c r="G44" s="39">
        <f t="shared" si="10"/>
        <v>2.0328226221294175E-3</v>
      </c>
      <c r="I44" s="33">
        <v>15.984999999999999</v>
      </c>
      <c r="J44" s="34">
        <v>211.05</v>
      </c>
    </row>
    <row r="45" spans="1:14" x14ac:dyDescent="0.2">
      <c r="A45" s="1">
        <v>1.056</v>
      </c>
      <c r="B45" s="15">
        <v>9623.5454549999995</v>
      </c>
      <c r="C45" s="15">
        <v>1164.5454549999999</v>
      </c>
      <c r="D45" s="15">
        <v>8.2872648210000008</v>
      </c>
      <c r="E45" s="39">
        <f t="shared" si="0"/>
        <v>257.99885548290086</v>
      </c>
      <c r="F45" s="39">
        <f t="shared" si="9"/>
        <v>0.24380897689009207</v>
      </c>
      <c r="G45" s="39">
        <f t="shared" si="10"/>
        <v>1.9531731663993209E-3</v>
      </c>
      <c r="I45" s="33">
        <v>15.997999999999999</v>
      </c>
      <c r="J45" s="34">
        <v>211.05</v>
      </c>
    </row>
    <row r="46" spans="1:14" x14ac:dyDescent="0.2">
      <c r="A46" s="1">
        <v>1.08</v>
      </c>
      <c r="B46" s="15">
        <v>10427.54545</v>
      </c>
      <c r="C46" s="15">
        <v>1269.5454549999999</v>
      </c>
      <c r="D46" s="15">
        <v>8.2084077860000004</v>
      </c>
      <c r="E46" s="39">
        <f t="shared" si="0"/>
        <v>259.34766723757508</v>
      </c>
      <c r="F46" s="39">
        <f t="shared" si="9"/>
        <v>0.23557319024663248</v>
      </c>
      <c r="G46" s="39">
        <f t="shared" si="10"/>
        <v>1.8819197141947072E-3</v>
      </c>
      <c r="I46" s="33"/>
      <c r="J46" s="34"/>
    </row>
    <row r="47" spans="1:14" x14ac:dyDescent="0.2">
      <c r="A47" s="1">
        <v>1.1040000000000001</v>
      </c>
      <c r="B47" s="15">
        <v>11233.727269999999</v>
      </c>
      <c r="C47" s="15">
        <v>1379.818182</v>
      </c>
      <c r="D47" s="15">
        <v>8.1328959459999997</v>
      </c>
      <c r="E47" s="39">
        <f t="shared" si="0"/>
        <v>260.66493448421301</v>
      </c>
      <c r="F47" s="39">
        <f t="shared" si="9"/>
        <v>0.22772427125975639</v>
      </c>
      <c r="G47" s="39">
        <f t="shared" si="10"/>
        <v>1.8163977391707344E-3</v>
      </c>
      <c r="I47" s="33"/>
      <c r="J47" s="34"/>
    </row>
    <row r="48" spans="1:14" x14ac:dyDescent="0.2">
      <c r="A48" s="1">
        <v>1.1279999999999999</v>
      </c>
      <c r="B48" s="15">
        <v>12053.45455</v>
      </c>
      <c r="C48" s="15">
        <v>1490.909091</v>
      </c>
      <c r="D48" s="15">
        <v>8.060772279</v>
      </c>
      <c r="E48" s="39">
        <f t="shared" si="0"/>
        <v>261.9472929824787</v>
      </c>
      <c r="F48" s="39">
        <f t="shared" si="9"/>
        <v>0.22081799772426081</v>
      </c>
      <c r="G48" s="39">
        <f t="shared" si="10"/>
        <v>1.7576111331837033E-3</v>
      </c>
      <c r="I48" s="33"/>
      <c r="J48" s="34"/>
    </row>
    <row r="49" spans="1:10" x14ac:dyDescent="0.2">
      <c r="A49" s="1">
        <v>1.1519999999999999</v>
      </c>
      <c r="B49" s="15">
        <v>12867.45455</v>
      </c>
      <c r="C49" s="15">
        <v>1609.363636</v>
      </c>
      <c r="D49" s="15">
        <v>7.9929581939999998</v>
      </c>
      <c r="E49" s="39">
        <f t="shared" si="0"/>
        <v>263.17524945709459</v>
      </c>
      <c r="F49" s="39">
        <f t="shared" si="9"/>
        <v>0.21388566123924713</v>
      </c>
      <c r="G49" s="39">
        <f t="shared" si="10"/>
        <v>1.7020840744561734E-3</v>
      </c>
      <c r="I49" s="33"/>
      <c r="J49" s="34"/>
    </row>
    <row r="50" spans="1:10" x14ac:dyDescent="0.2">
      <c r="A50" s="1">
        <v>1.1759999999999999</v>
      </c>
      <c r="B50" s="15">
        <v>13689.272730000001</v>
      </c>
      <c r="C50" s="15">
        <v>1726.636364</v>
      </c>
      <c r="D50" s="15">
        <v>7.9299200729999999</v>
      </c>
      <c r="E50" s="39">
        <f t="shared" si="0"/>
        <v>264.33660124200389</v>
      </c>
      <c r="F50" s="39">
        <f t="shared" si="9"/>
        <v>0.20783971607871371</v>
      </c>
      <c r="G50" s="39">
        <f t="shared" si="10"/>
        <v>1.6523370141513347E-3</v>
      </c>
    </row>
    <row r="51" spans="1:10" x14ac:dyDescent="0.2">
      <c r="A51" s="1">
        <v>1.2</v>
      </c>
      <c r="B51" s="15">
        <v>14465.615379999999</v>
      </c>
      <c r="C51" s="15">
        <v>1846.769231</v>
      </c>
      <c r="D51" s="15">
        <v>7.8669820760000002</v>
      </c>
      <c r="E51" s="39">
        <f t="shared" si="0"/>
        <v>265.51574937888137</v>
      </c>
      <c r="F51" s="39">
        <f t="shared" ref="F51:F60" si="11" xml:space="preserve"> E51^2*(1/SQRT(C51)-1/SQRT(B51))/(H$7*SQRT(11*13))</f>
        <v>0.18589142022457653</v>
      </c>
      <c r="G51" s="39">
        <f t="shared" ref="G51:G60" si="12" xml:space="preserve"> E51*(1/SQRT(C51)+1/SQRT(B51))/(H$7*SQRT(11*13))</f>
        <v>1.478565520173211E-3</v>
      </c>
    </row>
    <row r="52" spans="1:10" x14ac:dyDescent="0.2">
      <c r="A52" s="1">
        <v>1.224</v>
      </c>
      <c r="B52" s="15">
        <v>15246.92308</v>
      </c>
      <c r="C52" s="15">
        <v>1965.461538</v>
      </c>
      <c r="D52" s="15">
        <v>7.8045291179999996</v>
      </c>
      <c r="E52" s="39">
        <f t="shared" si="0"/>
        <v>266.70574285954103</v>
      </c>
      <c r="F52" s="39">
        <f t="shared" si="11"/>
        <v>0.18131920194633286</v>
      </c>
      <c r="G52" s="39">
        <f t="shared" si="12"/>
        <v>1.4414891263402193E-3</v>
      </c>
    </row>
    <row r="53" spans="1:10" x14ac:dyDescent="0.2">
      <c r="A53" s="1">
        <v>1.248</v>
      </c>
      <c r="B53" s="15">
        <v>16037.30769</v>
      </c>
      <c r="C53" s="15">
        <v>2079.6153850000001</v>
      </c>
      <c r="D53" s="15">
        <v>7.7444516029999999</v>
      </c>
      <c r="E53" s="39">
        <f t="shared" si="0"/>
        <v>267.86972330988192</v>
      </c>
      <c r="F53" s="39">
        <f t="shared" si="11"/>
        <v>0.1775194076857631</v>
      </c>
      <c r="G53" s="39">
        <f t="shared" si="12"/>
        <v>1.4085852668922123E-3</v>
      </c>
    </row>
    <row r="54" spans="1:10" x14ac:dyDescent="0.2">
      <c r="A54" s="1">
        <v>1.272</v>
      </c>
      <c r="B54" s="15">
        <v>16832.230769999998</v>
      </c>
      <c r="C54" s="15">
        <v>2195.3846149999999</v>
      </c>
      <c r="D54" s="15">
        <v>7.6847055009999998</v>
      </c>
      <c r="E54" s="39">
        <f t="shared" si="0"/>
        <v>269.04651077005298</v>
      </c>
      <c r="F54" s="39">
        <f t="shared" si="11"/>
        <v>0.17401215214297125</v>
      </c>
      <c r="G54" s="39">
        <f t="shared" si="12"/>
        <v>1.3780236991714667E-3</v>
      </c>
    </row>
    <row r="55" spans="1:10" x14ac:dyDescent="0.2">
      <c r="A55" s="1">
        <v>1.296</v>
      </c>
      <c r="B55" s="15">
        <v>17590.230769999998</v>
      </c>
      <c r="C55" s="15">
        <v>2304.538462</v>
      </c>
      <c r="D55" s="15">
        <v>7.6296199869999999</v>
      </c>
      <c r="E55" s="39">
        <f t="shared" si="0"/>
        <v>270.14893697041458</v>
      </c>
      <c r="F55" s="39">
        <f t="shared" si="11"/>
        <v>0.17101901803390274</v>
      </c>
      <c r="G55" s="39">
        <f t="shared" si="12"/>
        <v>1.3513067724798069E-3</v>
      </c>
    </row>
    <row r="56" spans="1:10" x14ac:dyDescent="0.2">
      <c r="A56" s="1">
        <v>1.32</v>
      </c>
      <c r="B56" s="15">
        <v>18338.07692</v>
      </c>
      <c r="C56" s="15">
        <v>2422</v>
      </c>
      <c r="D56" s="15">
        <v>7.5798169590000004</v>
      </c>
      <c r="E56" s="39">
        <f t="shared" si="0"/>
        <v>271.160402741246</v>
      </c>
      <c r="F56" s="39">
        <f t="shared" si="11"/>
        <v>0.16768614046508137</v>
      </c>
      <c r="G56" s="39">
        <f t="shared" si="12"/>
        <v>1.3244900496671866E-3</v>
      </c>
    </row>
    <row r="57" spans="1:10" x14ac:dyDescent="0.2">
      <c r="A57" s="1">
        <v>1.3440000000000001</v>
      </c>
      <c r="B57" s="15">
        <v>19050.46154</v>
      </c>
      <c r="C57" s="15">
        <v>2531.0769230000001</v>
      </c>
      <c r="D57" s="15">
        <v>7.534692068</v>
      </c>
      <c r="E57" s="39">
        <f t="shared" si="0"/>
        <v>272.08923767127959</v>
      </c>
      <c r="F57" s="39">
        <f t="shared" si="11"/>
        <v>0.16487838292181217</v>
      </c>
      <c r="G57" s="39">
        <f t="shared" si="12"/>
        <v>1.3011050083899679E-3</v>
      </c>
    </row>
    <row r="58" spans="1:10" x14ac:dyDescent="0.2">
      <c r="A58" s="1">
        <v>1.3680000000000001</v>
      </c>
      <c r="B58" s="15">
        <v>19726.92308</v>
      </c>
      <c r="C58" s="15">
        <v>2637.0769230000001</v>
      </c>
      <c r="D58" s="15">
        <v>7.4927112820000001</v>
      </c>
      <c r="E58" s="39">
        <f t="shared" si="0"/>
        <v>272.96414532108338</v>
      </c>
      <c r="F58" s="39">
        <f t="shared" si="11"/>
        <v>0.16228476335516481</v>
      </c>
      <c r="G58" s="39">
        <f t="shared" si="12"/>
        <v>1.2798351375939065E-3</v>
      </c>
    </row>
    <row r="59" spans="1:10" x14ac:dyDescent="0.2">
      <c r="A59" s="1">
        <v>1.3919999999999999</v>
      </c>
      <c r="B59" s="15">
        <v>20398</v>
      </c>
      <c r="C59" s="15">
        <v>2746.3076919999999</v>
      </c>
      <c r="D59" s="15">
        <v>7.4542405150000004</v>
      </c>
      <c r="E59" s="39">
        <f t="shared" si="0"/>
        <v>273.77521168615363</v>
      </c>
      <c r="F59" s="39">
        <f t="shared" si="11"/>
        <v>0.15964167067291862</v>
      </c>
      <c r="G59" s="39">
        <f t="shared" si="12"/>
        <v>1.2590547957539448E-3</v>
      </c>
    </row>
    <row r="60" spans="1:10" x14ac:dyDescent="0.2">
      <c r="A60" s="1">
        <v>1.4159999999999999</v>
      </c>
      <c r="B60" s="15">
        <v>21053.615379999999</v>
      </c>
      <c r="C60" s="15">
        <v>2849.1538460000002</v>
      </c>
      <c r="D60" s="15">
        <v>7.4168011979999999</v>
      </c>
      <c r="E60" s="39">
        <f t="shared" si="0"/>
        <v>274.57323809804677</v>
      </c>
      <c r="F60" s="39">
        <f t="shared" si="11"/>
        <v>0.15741430788451286</v>
      </c>
      <c r="G60" s="39">
        <f t="shared" si="12"/>
        <v>1.2405795621188475E-3</v>
      </c>
    </row>
    <row r="61" spans="1:10" x14ac:dyDescent="0.2">
      <c r="A61" s="1">
        <v>1.44</v>
      </c>
      <c r="B61" s="15">
        <v>21620.799999999999</v>
      </c>
      <c r="C61" s="15">
        <v>2929.4666670000001</v>
      </c>
      <c r="D61" s="15">
        <v>7.3799733869999997</v>
      </c>
      <c r="E61" s="39">
        <f t="shared" si="0"/>
        <v>275.36675640806027</v>
      </c>
      <c r="F61" s="39">
        <f t="shared" ref="F61:F70" si="13" xml:space="preserve"> E61^2*(1/SQRT(C61)-1/SQRT(B61))/(H$7*SQRT(11*15))</f>
        <v>0.14530713462402789</v>
      </c>
      <c r="G61" s="39">
        <f t="shared" ref="G61:G70" si="14" xml:space="preserve"> E61*(1/SQRT(C61)+1/SQRT(B61))/(H$7*SQRT(11*15))</f>
        <v>1.1424536812150246E-3</v>
      </c>
    </row>
    <row r="62" spans="1:10" x14ac:dyDescent="0.2">
      <c r="A62" s="1">
        <v>1.464</v>
      </c>
      <c r="B62" s="15">
        <v>22202.866669999999</v>
      </c>
      <c r="C62" s="15">
        <v>3026.333333</v>
      </c>
      <c r="D62" s="15">
        <v>7.3467166690000001</v>
      </c>
      <c r="E62" s="39">
        <f t="shared" si="0"/>
        <v>276.09071843713843</v>
      </c>
      <c r="F62" s="39">
        <f t="shared" si="13"/>
        <v>0.14346535260950088</v>
      </c>
      <c r="G62" s="39">
        <f t="shared" si="14"/>
        <v>1.1278821638220783E-3</v>
      </c>
    </row>
    <row r="63" spans="1:10" x14ac:dyDescent="0.2">
      <c r="A63" s="1">
        <v>1.488</v>
      </c>
      <c r="B63" s="15">
        <v>22756.06667</v>
      </c>
      <c r="C63" s="15">
        <v>3119.1333330000002</v>
      </c>
      <c r="D63" s="15">
        <v>7.3142550670000004</v>
      </c>
      <c r="E63" s="39">
        <f t="shared" si="0"/>
        <v>276.80424467479241</v>
      </c>
      <c r="F63" s="39">
        <f t="shared" si="13"/>
        <v>0.14181361160067532</v>
      </c>
      <c r="G63" s="39">
        <f t="shared" si="14"/>
        <v>1.1146894699617558E-3</v>
      </c>
    </row>
    <row r="64" spans="1:10" x14ac:dyDescent="0.2">
      <c r="A64" s="1">
        <v>1.512</v>
      </c>
      <c r="B64" s="15">
        <v>23293.533329999998</v>
      </c>
      <c r="C64" s="15">
        <v>3195.9333329999999</v>
      </c>
      <c r="D64" s="15">
        <v>7.2834056460000003</v>
      </c>
      <c r="E64" s="39">
        <f t="shared" si="0"/>
        <v>277.48872343509566</v>
      </c>
      <c r="F64" s="39">
        <f t="shared" si="13"/>
        <v>0.14075248484739311</v>
      </c>
      <c r="G64" s="39">
        <f t="shared" si="14"/>
        <v>1.104083993167699E-3</v>
      </c>
    </row>
    <row r="65" spans="1:7" x14ac:dyDescent="0.2">
      <c r="A65" s="1">
        <v>1.536</v>
      </c>
      <c r="B65" s="15">
        <v>23764.866669999999</v>
      </c>
      <c r="C65" s="15">
        <v>3275.5333329999999</v>
      </c>
      <c r="D65" s="15">
        <v>7.2554315689999997</v>
      </c>
      <c r="E65" s="39">
        <f t="shared" si="0"/>
        <v>278.11486662986522</v>
      </c>
      <c r="F65" s="39">
        <f t="shared" si="13"/>
        <v>0.13947194957870648</v>
      </c>
      <c r="G65" s="39">
        <f t="shared" si="14"/>
        <v>1.0937226746997885E-3</v>
      </c>
    </row>
    <row r="66" spans="1:7" x14ac:dyDescent="0.2">
      <c r="A66" s="1">
        <v>1.56</v>
      </c>
      <c r="B66" s="15">
        <v>24232.266670000001</v>
      </c>
      <c r="C66" s="15">
        <v>3352.666667</v>
      </c>
      <c r="D66" s="15">
        <v>7.2303402869999998</v>
      </c>
      <c r="E66" s="39">
        <f t="shared" si="0"/>
        <v>278.68096335940805</v>
      </c>
      <c r="F66" s="39">
        <f t="shared" si="13"/>
        <v>0.13826463313399434</v>
      </c>
      <c r="G66" s="39">
        <f t="shared" si="14"/>
        <v>1.0838261192703661E-3</v>
      </c>
    </row>
    <row r="67" spans="1:7" x14ac:dyDescent="0.2">
      <c r="A67" s="1">
        <v>1.5840000000000001</v>
      </c>
      <c r="B67" s="15">
        <v>24647.599999999999</v>
      </c>
      <c r="C67" s="15">
        <v>3420.6</v>
      </c>
      <c r="D67" s="15">
        <v>7.204215853</v>
      </c>
      <c r="E67" s="39">
        <f t="shared" ref="E67:E130" si="15" xml:space="preserve"> H$7/(LN(D67)-H$4)</f>
        <v>279.27492811433456</v>
      </c>
      <c r="F67" s="39">
        <f t="shared" si="13"/>
        <v>0.13734400743776823</v>
      </c>
      <c r="G67" s="39">
        <f t="shared" si="14"/>
        <v>1.0757438527664628E-3</v>
      </c>
    </row>
    <row r="68" spans="1:7" x14ac:dyDescent="0.2">
      <c r="A68" s="1">
        <v>1.6080000000000001</v>
      </c>
      <c r="B68" s="15">
        <v>25016.93333</v>
      </c>
      <c r="C68" s="15">
        <v>3489.333333</v>
      </c>
      <c r="D68" s="15">
        <v>7.1805097240000002</v>
      </c>
      <c r="E68" s="39">
        <f t="shared" si="15"/>
        <v>279.81798399456022</v>
      </c>
      <c r="F68" s="39">
        <f t="shared" si="13"/>
        <v>0.13631019029735042</v>
      </c>
      <c r="G68" s="39">
        <f t="shared" si="14"/>
        <v>1.0678953157838764E-3</v>
      </c>
    </row>
    <row r="69" spans="1:7" x14ac:dyDescent="0.2">
      <c r="A69" s="1">
        <v>1.6319999999999999</v>
      </c>
      <c r="B69" s="15">
        <v>25354.799999999999</v>
      </c>
      <c r="C69" s="15">
        <v>3550.4666670000001</v>
      </c>
      <c r="D69" s="15">
        <v>7.1593003209999999</v>
      </c>
      <c r="E69" s="39">
        <f t="shared" si="15"/>
        <v>280.30716848962925</v>
      </c>
      <c r="F69" s="39">
        <f t="shared" si="13"/>
        <v>0.13544453481857222</v>
      </c>
      <c r="G69" s="39">
        <f t="shared" si="14"/>
        <v>1.0610830130928801E-3</v>
      </c>
    </row>
    <row r="70" spans="1:7" x14ac:dyDescent="0.2">
      <c r="A70" s="1">
        <v>1.6559999999999999</v>
      </c>
      <c r="B70" s="15">
        <v>25660.866669999999</v>
      </c>
      <c r="C70" s="15">
        <v>3604.2</v>
      </c>
      <c r="D70" s="15">
        <v>7.13749068</v>
      </c>
      <c r="E70" s="39">
        <f t="shared" si="15"/>
        <v>280.81350585148044</v>
      </c>
      <c r="F70" s="39">
        <f t="shared" si="13"/>
        <v>0.13479522269958094</v>
      </c>
      <c r="G70" s="39">
        <f t="shared" si="14"/>
        <v>1.0554804716054779E-3</v>
      </c>
    </row>
    <row r="71" spans="1:7" x14ac:dyDescent="0.2">
      <c r="A71" s="1">
        <v>1.68</v>
      </c>
      <c r="B71" s="15">
        <v>25838.88235</v>
      </c>
      <c r="C71" s="15">
        <v>3632.4117649999998</v>
      </c>
      <c r="D71" s="15">
        <v>7.116543568</v>
      </c>
      <c r="E71" s="39">
        <f t="shared" si="15"/>
        <v>281.30301017692773</v>
      </c>
      <c r="F71" s="39">
        <f t="shared" ref="F71:F80" si="16" xml:space="preserve"> E71^2*(1/SQRT(C71)-1/SQRT(B71))/(H$7*SQRT(11*17))</f>
        <v>0.12653197421909551</v>
      </c>
      <c r="G71" s="39">
        <f t="shared" ref="G71:G80" si="17" xml:space="preserve"> E71*(1/SQRT(C71)+1/SQRT(B71))/(H$7*SQRT(11*17))</f>
        <v>9.8943434992572292E-4</v>
      </c>
    </row>
    <row r="72" spans="1:7" x14ac:dyDescent="0.2">
      <c r="A72" s="1">
        <v>1.704</v>
      </c>
      <c r="B72" s="15">
        <v>26068.764709999999</v>
      </c>
      <c r="C72" s="15">
        <v>3675.2352940000001</v>
      </c>
      <c r="D72" s="15">
        <v>7.0966295820000003</v>
      </c>
      <c r="E72" s="39">
        <f t="shared" si="15"/>
        <v>281.77130145106571</v>
      </c>
      <c r="F72" s="39">
        <f t="shared" si="16"/>
        <v>0.12610336307187942</v>
      </c>
      <c r="G72" s="39">
        <f t="shared" si="17"/>
        <v>9.8567545069421555E-4</v>
      </c>
    </row>
    <row r="73" spans="1:7" x14ac:dyDescent="0.2">
      <c r="A73" s="1">
        <v>1.728</v>
      </c>
      <c r="B73" s="15">
        <v>26294.88235</v>
      </c>
      <c r="C73" s="15">
        <v>3716.1764710000002</v>
      </c>
      <c r="D73" s="15">
        <v>7.0791483189999997</v>
      </c>
      <c r="E73" s="39">
        <f t="shared" si="15"/>
        <v>282.18476186544814</v>
      </c>
      <c r="F73" s="39">
        <f t="shared" si="16"/>
        <v>0.1256827282859975</v>
      </c>
      <c r="G73" s="39">
        <f t="shared" si="17"/>
        <v>9.8199651740013441E-4</v>
      </c>
    </row>
    <row r="74" spans="1:7" x14ac:dyDescent="0.2">
      <c r="A74" s="1">
        <v>1.752</v>
      </c>
      <c r="B74" s="15">
        <v>26471.705880000001</v>
      </c>
      <c r="C74" s="15">
        <v>3748.2941179999998</v>
      </c>
      <c r="D74" s="15">
        <v>7.0662516689999997</v>
      </c>
      <c r="E74" s="39">
        <f t="shared" si="15"/>
        <v>282.49122470001032</v>
      </c>
      <c r="F74" s="39">
        <f t="shared" si="16"/>
        <v>0.12534313982903642</v>
      </c>
      <c r="G74" s="39">
        <f t="shared" si="17"/>
        <v>9.7909684550288021E-4</v>
      </c>
    </row>
    <row r="75" spans="1:7" x14ac:dyDescent="0.2">
      <c r="A75" s="1">
        <v>1.776</v>
      </c>
      <c r="B75" s="15">
        <v>26617.11765</v>
      </c>
      <c r="C75" s="15">
        <v>3776.2352940000001</v>
      </c>
      <c r="D75" s="15">
        <v>7.0548170920000004</v>
      </c>
      <c r="E75" s="39">
        <f t="shared" si="15"/>
        <v>282.76397118194859</v>
      </c>
      <c r="F75" s="39">
        <f t="shared" si="16"/>
        <v>0.12504623167226095</v>
      </c>
      <c r="G75" s="39">
        <f t="shared" si="17"/>
        <v>9.7666989834431332E-4</v>
      </c>
    </row>
    <row r="76" spans="1:7" x14ac:dyDescent="0.2">
      <c r="A76" s="1">
        <v>1.8</v>
      </c>
      <c r="B76" s="15">
        <v>26724.588240000001</v>
      </c>
      <c r="C76" s="15">
        <v>3804.2941179999998</v>
      </c>
      <c r="D76" s="15">
        <v>7.0464669410000003</v>
      </c>
      <c r="E76" s="39">
        <f t="shared" si="15"/>
        <v>282.96375858447021</v>
      </c>
      <c r="F76" s="39">
        <f t="shared" si="16"/>
        <v>0.12463308452982724</v>
      </c>
      <c r="G76" s="39">
        <f t="shared" si="17"/>
        <v>9.7419875396500513E-4</v>
      </c>
    </row>
    <row r="77" spans="1:7" x14ac:dyDescent="0.2">
      <c r="A77" s="1">
        <v>1.8240000000000001</v>
      </c>
      <c r="B77" s="15">
        <v>26805.823530000001</v>
      </c>
      <c r="C77" s="15">
        <v>3824.6470589999999</v>
      </c>
      <c r="D77" s="15">
        <v>7.039090635</v>
      </c>
      <c r="E77" s="39">
        <f t="shared" si="15"/>
        <v>283.14067800070802</v>
      </c>
      <c r="F77" s="39">
        <f t="shared" si="16"/>
        <v>0.12436971470981033</v>
      </c>
      <c r="G77" s="39">
        <f t="shared" si="17"/>
        <v>9.7251720352144145E-4</v>
      </c>
    </row>
    <row r="78" spans="1:7" x14ac:dyDescent="0.2">
      <c r="A78" s="1">
        <v>1.8480000000000001</v>
      </c>
      <c r="B78" s="15">
        <v>26869.352940000001</v>
      </c>
      <c r="C78" s="15">
        <v>3831.1764710000002</v>
      </c>
      <c r="D78" s="15">
        <v>7.0332925910000004</v>
      </c>
      <c r="E78" s="39">
        <f t="shared" si="15"/>
        <v>283.28002884254266</v>
      </c>
      <c r="F78" s="39">
        <f t="shared" si="16"/>
        <v>0.12441100139401401</v>
      </c>
      <c r="G78" s="39">
        <f t="shared" si="17"/>
        <v>9.7207821955008896E-4</v>
      </c>
    </row>
    <row r="79" spans="1:7" x14ac:dyDescent="0.2">
      <c r="A79" s="1">
        <v>1.8720000000000001</v>
      </c>
      <c r="B79" s="15">
        <v>26895.352940000001</v>
      </c>
      <c r="C79" s="15">
        <v>3827.0588240000002</v>
      </c>
      <c r="D79" s="15">
        <v>7.0283181069999996</v>
      </c>
      <c r="E79" s="39">
        <f t="shared" si="15"/>
        <v>283.39978723489088</v>
      </c>
      <c r="F79" s="39">
        <f t="shared" si="16"/>
        <v>0.12466033401006356</v>
      </c>
      <c r="G79" s="39">
        <f t="shared" si="17"/>
        <v>9.7273995883375678E-4</v>
      </c>
    </row>
    <row r="80" spans="1:7" x14ac:dyDescent="0.2">
      <c r="A80" s="1">
        <v>1.8959999999999999</v>
      </c>
      <c r="B80" s="15">
        <v>26901.88235</v>
      </c>
      <c r="C80" s="15">
        <v>3834.6470589999999</v>
      </c>
      <c r="D80" s="15">
        <v>7.025079753</v>
      </c>
      <c r="E80" s="39">
        <f t="shared" si="15"/>
        <v>283.47784913709842</v>
      </c>
      <c r="F80" s="39">
        <f t="shared" si="16"/>
        <v>0.12453992823905058</v>
      </c>
      <c r="G80" s="39">
        <f t="shared" si="17"/>
        <v>9.7227617331734431E-4</v>
      </c>
    </row>
    <row r="81" spans="1:7" x14ac:dyDescent="0.2">
      <c r="A81" s="1">
        <v>1.92</v>
      </c>
      <c r="B81" s="15">
        <v>26818.315790000001</v>
      </c>
      <c r="C81" s="15">
        <v>3816</v>
      </c>
      <c r="D81" s="15">
        <v>7.0242557740000002</v>
      </c>
      <c r="E81" s="39">
        <f t="shared" si="15"/>
        <v>283.49772411059996</v>
      </c>
      <c r="F81" s="39">
        <f t="shared" ref="F81:F90" si="18" xml:space="preserve"> E81^2*(1/SQRT(C81)-1/SQRT(B81))/(H$7*SQRT(11*19))</f>
        <v>0.1181701494186512</v>
      </c>
      <c r="G81" s="39">
        <f t="shared" ref="G81:G90" si="19" xml:space="preserve"> E81*(1/SQRT(C81)+1/SQRT(B81))/(H$7*SQRT(11*19))</f>
        <v>9.2176741104132672E-4</v>
      </c>
    </row>
    <row r="82" spans="1:7" x14ac:dyDescent="0.2">
      <c r="A82" s="1">
        <v>1.944</v>
      </c>
      <c r="B82" s="15">
        <v>26804.10526</v>
      </c>
      <c r="C82" s="15">
        <v>3811.578947</v>
      </c>
      <c r="D82" s="15">
        <v>7.0268476010000001</v>
      </c>
      <c r="E82" s="39">
        <f t="shared" si="15"/>
        <v>283.43522461994746</v>
      </c>
      <c r="F82" s="39">
        <f t="shared" si="18"/>
        <v>0.1182090518024238</v>
      </c>
      <c r="G82" s="39">
        <f t="shared" si="19"/>
        <v>9.2201906250480184E-4</v>
      </c>
    </row>
    <row r="83" spans="1:7" x14ac:dyDescent="0.2">
      <c r="A83" s="1">
        <v>1.968</v>
      </c>
      <c r="B83" s="15">
        <v>26735.421050000001</v>
      </c>
      <c r="C83" s="15">
        <v>3803.421053</v>
      </c>
      <c r="D83" s="15">
        <v>7.0326121119999998</v>
      </c>
      <c r="E83" s="39">
        <f t="shared" si="15"/>
        <v>283.29640008211123</v>
      </c>
      <c r="F83" s="39">
        <f t="shared" si="18"/>
        <v>0.11820472077794728</v>
      </c>
      <c r="G83" s="39">
        <f t="shared" si="19"/>
        <v>9.2260871778605921E-4</v>
      </c>
    </row>
    <row r="84" spans="1:7" x14ac:dyDescent="0.2">
      <c r="A84" s="1">
        <v>1.992</v>
      </c>
      <c r="B84" s="15">
        <v>26657.89474</v>
      </c>
      <c r="C84" s="15">
        <v>3796.8421050000002</v>
      </c>
      <c r="D84" s="15">
        <v>7.0382546609999999</v>
      </c>
      <c r="E84" s="39">
        <f t="shared" si="15"/>
        <v>283.1607543539825</v>
      </c>
      <c r="F84" s="39">
        <f t="shared" si="18"/>
        <v>0.11815183650855461</v>
      </c>
      <c r="G84" s="39">
        <f t="shared" si="19"/>
        <v>9.2311381840670995E-4</v>
      </c>
    </row>
    <row r="85" spans="1:7" x14ac:dyDescent="0.2">
      <c r="A85" s="1">
        <v>2.016</v>
      </c>
      <c r="B85" s="15">
        <v>26554.315790000001</v>
      </c>
      <c r="C85" s="15">
        <v>3779.0526319999999</v>
      </c>
      <c r="D85" s="15">
        <v>7.0438910019999996</v>
      </c>
      <c r="E85" s="39">
        <f t="shared" si="15"/>
        <v>283.0254958545998</v>
      </c>
      <c r="F85" s="39">
        <f t="shared" si="18"/>
        <v>0.11834528851233342</v>
      </c>
      <c r="G85" s="39">
        <f t="shared" si="19"/>
        <v>9.2474025547299504E-4</v>
      </c>
    </row>
    <row r="86" spans="1:7" x14ac:dyDescent="0.2">
      <c r="A86" s="1">
        <v>2.04</v>
      </c>
      <c r="B86" s="15">
        <v>26436.368419999999</v>
      </c>
      <c r="C86" s="15">
        <v>3755.421053</v>
      </c>
      <c r="D86" s="15">
        <v>7.0522530239999996</v>
      </c>
      <c r="E86" s="39">
        <f t="shared" si="15"/>
        <v>282.8252644087973</v>
      </c>
      <c r="F86" s="39">
        <f t="shared" si="18"/>
        <v>0.11861450753415713</v>
      </c>
      <c r="G86" s="39">
        <f t="shared" si="19"/>
        <v>9.2675782759695099E-4</v>
      </c>
    </row>
    <row r="87" spans="1:7" x14ac:dyDescent="0.2">
      <c r="A87" s="1">
        <v>2.0640000000000001</v>
      </c>
      <c r="B87" s="15">
        <v>26298.631580000001</v>
      </c>
      <c r="C87" s="15">
        <v>3728.526316</v>
      </c>
      <c r="D87" s="15">
        <v>7.0596707270000003</v>
      </c>
      <c r="E87" s="39">
        <f t="shared" si="15"/>
        <v>282.64808020789695</v>
      </c>
      <c r="F87" s="39">
        <f t="shared" si="18"/>
        <v>0.11896300109145841</v>
      </c>
      <c r="G87" s="39">
        <f t="shared" si="19"/>
        <v>9.2926191465801601E-4</v>
      </c>
    </row>
    <row r="88" spans="1:7" x14ac:dyDescent="0.2">
      <c r="A88" s="1">
        <v>2.0880000000000001</v>
      </c>
      <c r="B88" s="15">
        <v>26153.052629999998</v>
      </c>
      <c r="C88" s="15">
        <v>3698.0526319999999</v>
      </c>
      <c r="D88" s="15">
        <v>7.0685009509999999</v>
      </c>
      <c r="E88" s="39">
        <f t="shared" si="15"/>
        <v>282.43768686560747</v>
      </c>
      <c r="F88" s="39">
        <f t="shared" si="18"/>
        <v>0.11936997184257647</v>
      </c>
      <c r="G88" s="39">
        <f t="shared" si="19"/>
        <v>9.3204984648727557E-4</v>
      </c>
    </row>
    <row r="89" spans="1:7" x14ac:dyDescent="0.2">
      <c r="A89" s="1">
        <v>2.1120000000000001</v>
      </c>
      <c r="B89" s="15">
        <v>25984.631580000001</v>
      </c>
      <c r="C89" s="15">
        <v>3672.526316</v>
      </c>
      <c r="D89" s="15">
        <v>7.0788407050000002</v>
      </c>
      <c r="E89" s="39">
        <f t="shared" si="15"/>
        <v>282.19205745449875</v>
      </c>
      <c r="F89" s="39">
        <f t="shared" si="18"/>
        <v>0.11959263028763018</v>
      </c>
      <c r="G89" s="39">
        <f t="shared" si="19"/>
        <v>9.344105199971341E-4</v>
      </c>
    </row>
    <row r="90" spans="1:7" x14ac:dyDescent="0.2">
      <c r="A90" s="1">
        <v>2.1360000000000001</v>
      </c>
      <c r="B90" s="15">
        <v>25817.263159999999</v>
      </c>
      <c r="C90" s="15">
        <v>3641.526316</v>
      </c>
      <c r="D90" s="15">
        <v>7.091936585</v>
      </c>
      <c r="E90" s="39">
        <f t="shared" si="15"/>
        <v>281.88207944603533</v>
      </c>
      <c r="F90" s="39">
        <f t="shared" si="18"/>
        <v>0.1199095819185214</v>
      </c>
      <c r="G90" s="39">
        <f t="shared" si="19"/>
        <v>9.3709069379424494E-4</v>
      </c>
    </row>
    <row r="91" spans="1:7" x14ac:dyDescent="0.2">
      <c r="A91" s="1">
        <v>2.16</v>
      </c>
      <c r="B91" s="15">
        <v>25586.85714</v>
      </c>
      <c r="C91" s="15">
        <v>3600</v>
      </c>
      <c r="D91" s="15">
        <v>7.106365437</v>
      </c>
      <c r="E91" s="39">
        <f t="shared" si="15"/>
        <v>281.54199743083802</v>
      </c>
      <c r="F91" s="39">
        <f t="shared" ref="F91:F100" si="20" xml:space="preserve"> E91^2*(1/SQRT(C91)-1/SQRT(B91))/(H$7*SQRT(11*21))</f>
        <v>0.1145222124056299</v>
      </c>
      <c r="G91" s="39">
        <f t="shared" ref="G91:G100" si="21" xml:space="preserve"> E91*(1/SQRT(C91)+1/SQRT(B91))/(H$7*SQRT(11*21))</f>
        <v>8.9508969581232872E-4</v>
      </c>
    </row>
    <row r="92" spans="1:7" x14ac:dyDescent="0.2">
      <c r="A92" s="1">
        <v>2.1840000000000002</v>
      </c>
      <c r="B92" s="15">
        <v>25375</v>
      </c>
      <c r="C92" s="15">
        <v>3569.1904760000002</v>
      </c>
      <c r="D92" s="15">
        <v>7.1206224279999999</v>
      </c>
      <c r="E92" s="39">
        <f t="shared" si="15"/>
        <v>281.20744625792719</v>
      </c>
      <c r="F92" s="39">
        <f t="shared" si="20"/>
        <v>0.11475191729598219</v>
      </c>
      <c r="G92" s="39">
        <f t="shared" si="21"/>
        <v>8.9784207115353092E-4</v>
      </c>
    </row>
    <row r="93" spans="1:7" x14ac:dyDescent="0.2">
      <c r="A93" s="1">
        <v>2.2080000000000002</v>
      </c>
      <c r="B93" s="15">
        <v>25175.666669999999</v>
      </c>
      <c r="C93" s="15">
        <v>3531.2380950000002</v>
      </c>
      <c r="D93" s="15">
        <v>7.1341627189999999</v>
      </c>
      <c r="E93" s="39">
        <f t="shared" si="15"/>
        <v>280.89106577226727</v>
      </c>
      <c r="F93" s="39">
        <f t="shared" si="20"/>
        <v>0.1152042461540429</v>
      </c>
      <c r="G93" s="39">
        <f t="shared" si="21"/>
        <v>9.0129393868312814E-4</v>
      </c>
    </row>
    <row r="94" spans="1:7" x14ac:dyDescent="0.2">
      <c r="A94" s="1">
        <v>2.2320000000000002</v>
      </c>
      <c r="B94" s="15">
        <v>24946.238099999999</v>
      </c>
      <c r="C94" s="15">
        <v>3492.380952</v>
      </c>
      <c r="D94" s="15">
        <v>7.1478934430000001</v>
      </c>
      <c r="E94" s="39">
        <f t="shared" si="15"/>
        <v>280.57157235104376</v>
      </c>
      <c r="F94" s="39">
        <f t="shared" si="20"/>
        <v>0.1156460498859372</v>
      </c>
      <c r="G94" s="39">
        <f t="shared" si="21"/>
        <v>9.0502780148430967E-4</v>
      </c>
    </row>
    <row r="95" spans="1:7" x14ac:dyDescent="0.2">
      <c r="A95" s="1">
        <v>2.2559999999999998</v>
      </c>
      <c r="B95" s="15">
        <v>24710.809519999999</v>
      </c>
      <c r="C95" s="15">
        <v>3448.7619049999998</v>
      </c>
      <c r="D95" s="15">
        <v>7.1626942189999996</v>
      </c>
      <c r="E95" s="39">
        <f t="shared" si="15"/>
        <v>280.22867754331531</v>
      </c>
      <c r="F95" s="39">
        <f t="shared" si="20"/>
        <v>0.1161978215514031</v>
      </c>
      <c r="G95" s="39">
        <f t="shared" si="21"/>
        <v>9.0923817511914307E-4</v>
      </c>
    </row>
    <row r="96" spans="1:7" x14ac:dyDescent="0.2">
      <c r="A96" s="1">
        <v>2.2799999999999998</v>
      </c>
      <c r="B96" s="15">
        <v>24460.57143</v>
      </c>
      <c r="C96" s="15">
        <v>3404.1904760000002</v>
      </c>
      <c r="D96" s="15">
        <v>7.1775256030000003</v>
      </c>
      <c r="E96" s="39">
        <f t="shared" si="15"/>
        <v>279.88662073848752</v>
      </c>
      <c r="F96" s="39">
        <f t="shared" si="20"/>
        <v>0.11676907732218436</v>
      </c>
      <c r="G96" s="39">
        <f t="shared" si="21"/>
        <v>9.137026005607736E-4</v>
      </c>
    </row>
    <row r="97" spans="1:7" x14ac:dyDescent="0.2">
      <c r="A97" s="1">
        <v>2.3039999999999998</v>
      </c>
      <c r="B97" s="15">
        <v>24214</v>
      </c>
      <c r="C97" s="15">
        <v>3364.7619049999998</v>
      </c>
      <c r="D97" s="15">
        <v>7.1917131799999998</v>
      </c>
      <c r="E97" s="39">
        <f t="shared" si="15"/>
        <v>279.56085110687906</v>
      </c>
      <c r="F97" s="39">
        <f t="shared" si="20"/>
        <v>0.11723090493513952</v>
      </c>
      <c r="G97" s="39">
        <f t="shared" si="21"/>
        <v>9.1778144282123519E-4</v>
      </c>
    </row>
    <row r="98" spans="1:7" x14ac:dyDescent="0.2">
      <c r="A98" s="1">
        <v>2.3279999999999998</v>
      </c>
      <c r="B98" s="15">
        <v>23963.42857</v>
      </c>
      <c r="C98" s="15">
        <v>3327.1904760000002</v>
      </c>
      <c r="D98" s="15">
        <v>7.2065602489999998</v>
      </c>
      <c r="E98" s="39">
        <f t="shared" si="15"/>
        <v>279.22143451743483</v>
      </c>
      <c r="F98" s="39">
        <f t="shared" si="20"/>
        <v>0.11763374580600425</v>
      </c>
      <c r="G98" s="39">
        <f t="shared" si="21"/>
        <v>9.2172477607020198E-4</v>
      </c>
    </row>
    <row r="99" spans="1:7" x14ac:dyDescent="0.2">
      <c r="A99" s="1">
        <v>2.3519999999999999</v>
      </c>
      <c r="B99" s="15">
        <v>23698.476190000001</v>
      </c>
      <c r="C99" s="15">
        <v>3280.9047620000001</v>
      </c>
      <c r="D99" s="15">
        <v>7.2223749699999997</v>
      </c>
      <c r="E99" s="39">
        <f t="shared" si="15"/>
        <v>278.86156725848014</v>
      </c>
      <c r="F99" s="39">
        <f t="shared" si="20"/>
        <v>0.11825681466312454</v>
      </c>
      <c r="G99" s="39">
        <f t="shared" si="21"/>
        <v>9.2664389298635608E-4</v>
      </c>
    </row>
    <row r="100" spans="1:7" x14ac:dyDescent="0.2">
      <c r="A100" s="1">
        <v>2.3759999999999999</v>
      </c>
      <c r="B100" s="15">
        <v>23449.761900000001</v>
      </c>
      <c r="C100" s="15">
        <v>3239.7142859999999</v>
      </c>
      <c r="D100" s="15">
        <v>7.2385037030000001</v>
      </c>
      <c r="E100" s="39">
        <f t="shared" si="15"/>
        <v>278.49631630159843</v>
      </c>
      <c r="F100" s="39">
        <f t="shared" si="20"/>
        <v>0.11876790770344116</v>
      </c>
      <c r="G100" s="39">
        <f t="shared" si="21"/>
        <v>9.3103168894337254E-4</v>
      </c>
    </row>
    <row r="101" spans="1:7" x14ac:dyDescent="0.2">
      <c r="A101" s="1">
        <v>2.4</v>
      </c>
      <c r="B101" s="15">
        <v>23172.782609999998</v>
      </c>
      <c r="C101" s="15">
        <v>3195</v>
      </c>
      <c r="D101" s="15">
        <v>7.2550941949999999</v>
      </c>
      <c r="E101" s="39">
        <f t="shared" si="15"/>
        <v>278.12245006901315</v>
      </c>
      <c r="F101" s="39">
        <f t="shared" ref="F101:F110" si="22" xml:space="preserve"> E101^2*(1/SQRT(C101)-1/SQRT(B101))/(H$7*SQRT(11*23))</f>
        <v>0.11403934838383266</v>
      </c>
      <c r="G101" s="39">
        <f t="shared" ref="G101:G110" si="23" xml:space="preserve"> E101*(1/SQRT(C101)+1/SQRT(B101))/(H$7*SQRT(11*23))</f>
        <v>8.9438832112844033E-4</v>
      </c>
    </row>
    <row r="102" spans="1:7" x14ac:dyDescent="0.2">
      <c r="A102" s="1">
        <v>2.4239999999999999</v>
      </c>
      <c r="B102" s="15">
        <v>22902.52174</v>
      </c>
      <c r="C102" s="15">
        <v>3153.086957</v>
      </c>
      <c r="D102" s="15">
        <v>7.2712785699999998</v>
      </c>
      <c r="E102" s="39">
        <f t="shared" si="15"/>
        <v>277.7595212774649</v>
      </c>
      <c r="F102" s="39">
        <f t="shared" si="22"/>
        <v>0.11454520168159182</v>
      </c>
      <c r="G102" s="39">
        <f t="shared" si="23"/>
        <v>8.9895894130889199E-4</v>
      </c>
    </row>
    <row r="103" spans="1:7" x14ac:dyDescent="0.2">
      <c r="A103" s="1">
        <v>2.448</v>
      </c>
      <c r="B103" s="15">
        <v>22622.43478</v>
      </c>
      <c r="C103" s="15">
        <v>3110.5652169999998</v>
      </c>
      <c r="D103" s="15">
        <v>7.288917241</v>
      </c>
      <c r="E103" s="39">
        <f t="shared" si="15"/>
        <v>277.36597257458675</v>
      </c>
      <c r="F103" s="39">
        <f t="shared" si="22"/>
        <v>0.11504204972439837</v>
      </c>
      <c r="G103" s="39">
        <f t="shared" si="23"/>
        <v>9.0364454715674688E-4</v>
      </c>
    </row>
    <row r="104" spans="1:7" x14ac:dyDescent="0.2">
      <c r="A104" s="1">
        <v>2.472</v>
      </c>
      <c r="B104" s="15">
        <v>22342.304349999999</v>
      </c>
      <c r="C104" s="15">
        <v>3059.1739130000001</v>
      </c>
      <c r="D104" s="15">
        <v>7.3071359349999998</v>
      </c>
      <c r="E104" s="39">
        <f t="shared" si="15"/>
        <v>276.96164595452882</v>
      </c>
      <c r="F104" s="39">
        <f t="shared" si="22"/>
        <v>0.11580934349942043</v>
      </c>
      <c r="G104" s="39">
        <f t="shared" si="23"/>
        <v>9.0935859706583924E-4</v>
      </c>
    </row>
    <row r="105" spans="1:7" x14ac:dyDescent="0.2">
      <c r="A105" s="1">
        <v>2.496</v>
      </c>
      <c r="B105" s="15">
        <v>22065.782609999998</v>
      </c>
      <c r="C105" s="15">
        <v>3014.2608700000001</v>
      </c>
      <c r="D105" s="15">
        <v>7.324462241</v>
      </c>
      <c r="E105" s="39">
        <f t="shared" si="15"/>
        <v>276.5791463644286</v>
      </c>
      <c r="F105" s="39">
        <f t="shared" si="22"/>
        <v>0.11642670270824072</v>
      </c>
      <c r="G105" s="39">
        <f t="shared" si="23"/>
        <v>9.1455466877640062E-4</v>
      </c>
    </row>
    <row r="106" spans="1:7" x14ac:dyDescent="0.2">
      <c r="A106" s="1">
        <v>2.52</v>
      </c>
      <c r="B106" s="15">
        <v>21794</v>
      </c>
      <c r="C106" s="15">
        <v>2966.130435</v>
      </c>
      <c r="D106" s="15">
        <v>7.3425019950000001</v>
      </c>
      <c r="E106" s="39">
        <f t="shared" si="15"/>
        <v>276.18297377545179</v>
      </c>
      <c r="F106" s="39">
        <f t="shared" si="22"/>
        <v>0.11715843968514121</v>
      </c>
      <c r="G106" s="39">
        <f t="shared" si="23"/>
        <v>9.2016474257268944E-4</v>
      </c>
    </row>
    <row r="107" spans="1:7" x14ac:dyDescent="0.2">
      <c r="A107" s="1">
        <v>2.544</v>
      </c>
      <c r="B107" s="15">
        <v>21520.826089999999</v>
      </c>
      <c r="C107" s="15">
        <v>2922.6521739999998</v>
      </c>
      <c r="D107" s="15">
        <v>7.3609295379999997</v>
      </c>
      <c r="E107" s="39">
        <f t="shared" si="15"/>
        <v>275.78045435882888</v>
      </c>
      <c r="F107" s="39">
        <f t="shared" si="22"/>
        <v>0.1177569051416725</v>
      </c>
      <c r="G107" s="39">
        <f t="shared" si="23"/>
        <v>9.253643685792701E-4</v>
      </c>
    </row>
    <row r="108" spans="1:7" x14ac:dyDescent="0.2">
      <c r="A108" s="1">
        <v>2.5680000000000001</v>
      </c>
      <c r="B108" s="15">
        <v>21250.217390000002</v>
      </c>
      <c r="C108" s="15">
        <v>2875.3913040000002</v>
      </c>
      <c r="D108" s="15">
        <v>7.3799407419999996</v>
      </c>
      <c r="E108" s="39">
        <f t="shared" si="15"/>
        <v>275.36746359538597</v>
      </c>
      <c r="F108" s="39">
        <f t="shared" si="22"/>
        <v>0.11849129921509607</v>
      </c>
      <c r="G108" s="39">
        <f t="shared" si="23"/>
        <v>9.3108384311769944E-4</v>
      </c>
    </row>
    <row r="109" spans="1:7" x14ac:dyDescent="0.2">
      <c r="A109" s="1">
        <v>2.5920000000000001</v>
      </c>
      <c r="B109" s="15">
        <v>20973.47826</v>
      </c>
      <c r="C109" s="15">
        <v>2833.2173910000001</v>
      </c>
      <c r="D109" s="15">
        <v>7.3991607989999997</v>
      </c>
      <c r="E109" s="39">
        <f t="shared" si="15"/>
        <v>274.9522665018643</v>
      </c>
      <c r="F109" s="39">
        <f t="shared" si="22"/>
        <v>0.11906795544617604</v>
      </c>
      <c r="G109" s="39">
        <f t="shared" si="23"/>
        <v>9.3636389340603129E-4</v>
      </c>
    </row>
    <row r="110" spans="1:7" x14ac:dyDescent="0.2">
      <c r="A110" s="1">
        <v>2.6160000000000001</v>
      </c>
      <c r="B110" s="15">
        <v>20702.391299999999</v>
      </c>
      <c r="C110" s="15">
        <v>2792.4347830000002</v>
      </c>
      <c r="D110" s="15">
        <v>7.41828413</v>
      </c>
      <c r="E110" s="39">
        <f t="shared" si="15"/>
        <v>274.5414638827873</v>
      </c>
      <c r="F110" s="39">
        <f t="shared" si="22"/>
        <v>0.11962789674468689</v>
      </c>
      <c r="G110" s="39">
        <f t="shared" si="23"/>
        <v>9.4157912444009463E-4</v>
      </c>
    </row>
    <row r="111" spans="1:7" x14ac:dyDescent="0.2">
      <c r="A111" s="1">
        <v>2.64</v>
      </c>
      <c r="B111" s="15">
        <v>20430.28</v>
      </c>
      <c r="C111" s="15">
        <v>2747.24</v>
      </c>
      <c r="D111" s="15">
        <v>7.4369503999999997</v>
      </c>
      <c r="E111" s="39">
        <f t="shared" si="15"/>
        <v>274.14267747480017</v>
      </c>
      <c r="F111" s="39">
        <f t="shared" ref="F111:F120" si="24" xml:space="preserve"> E111^2*(1/SQRT(C111)-1/SQRT(B111))/(H$7*SQRT(11*25))</f>
        <v>0.11545041657577988</v>
      </c>
      <c r="G111" s="39">
        <f t="shared" ref="G111:G120" si="25" xml:space="preserve"> E111*(1/SQRT(C111)+1/SQRT(B111))/(H$7*SQRT(11*25))</f>
        <v>9.0883021374514085E-4</v>
      </c>
    </row>
    <row r="112" spans="1:7" x14ac:dyDescent="0.2">
      <c r="A112" s="1">
        <v>2.6640000000000001</v>
      </c>
      <c r="B112" s="15">
        <v>20155.28</v>
      </c>
      <c r="C112" s="15">
        <v>2703.4</v>
      </c>
      <c r="D112" s="15">
        <v>7.4544282070000003</v>
      </c>
      <c r="E112" s="39">
        <f t="shared" si="15"/>
        <v>273.77123275590765</v>
      </c>
      <c r="F112" s="39">
        <f t="shared" si="24"/>
        <v>0.1161527123402718</v>
      </c>
      <c r="G112" s="39">
        <f t="shared" si="25"/>
        <v>9.1461738676429176E-4</v>
      </c>
    </row>
    <row r="113" spans="1:17" x14ac:dyDescent="0.2">
      <c r="A113" s="1">
        <v>2.6880000000000002</v>
      </c>
      <c r="B113" s="15">
        <v>19882.919999999998</v>
      </c>
      <c r="C113" s="15">
        <v>2660.76</v>
      </c>
      <c r="D113" s="15">
        <v>7.4721231279999998</v>
      </c>
      <c r="E113" s="39">
        <f t="shared" si="15"/>
        <v>273.39708036078133</v>
      </c>
      <c r="F113" s="39">
        <f t="shared" si="24"/>
        <v>0.11683723832576819</v>
      </c>
      <c r="G113" s="39">
        <f t="shared" si="25"/>
        <v>9.2037409584181621E-4</v>
      </c>
    </row>
    <row r="114" spans="1:17" x14ac:dyDescent="0.2">
      <c r="A114" s="1">
        <v>2.7120000000000002</v>
      </c>
      <c r="B114" s="15">
        <v>19602.599999999999</v>
      </c>
      <c r="C114" s="15">
        <v>2619.1999999999998</v>
      </c>
      <c r="D114" s="15">
        <v>7.488647823</v>
      </c>
      <c r="E114" s="39">
        <f t="shared" si="15"/>
        <v>273.04939033534936</v>
      </c>
      <c r="F114" s="39">
        <f t="shared" si="24"/>
        <v>0.11751349993003435</v>
      </c>
      <c r="G114" s="39">
        <f t="shared" si="25"/>
        <v>9.2627612883337113E-4</v>
      </c>
    </row>
    <row r="115" spans="1:17" x14ac:dyDescent="0.2">
      <c r="A115" s="1">
        <v>2.7360000000000002</v>
      </c>
      <c r="B115" s="15">
        <v>19332.84</v>
      </c>
      <c r="C115" s="15">
        <v>2573</v>
      </c>
      <c r="D115" s="15">
        <v>7.5054995299999998</v>
      </c>
      <c r="E115" s="39">
        <f t="shared" si="15"/>
        <v>272.69651557119556</v>
      </c>
      <c r="F115" s="39">
        <f t="shared" si="24"/>
        <v>0.11839163705386899</v>
      </c>
      <c r="G115" s="39">
        <f t="shared" si="25"/>
        <v>9.3285569436060939E-4</v>
      </c>
    </row>
    <row r="116" spans="1:17" x14ac:dyDescent="0.2">
      <c r="A116" s="1">
        <v>2.76</v>
      </c>
      <c r="B116" s="15">
        <v>19054.400000000001</v>
      </c>
      <c r="C116" s="15">
        <v>2531.88</v>
      </c>
      <c r="D116" s="15">
        <v>7.524244908</v>
      </c>
      <c r="E116" s="39">
        <f t="shared" si="15"/>
        <v>272.30598314699529</v>
      </c>
      <c r="F116" s="39">
        <f t="shared" si="24"/>
        <v>0.119062330323129</v>
      </c>
      <c r="G116" s="39">
        <f t="shared" si="25"/>
        <v>9.3885249430868936E-4</v>
      </c>
    </row>
    <row r="117" spans="1:17" x14ac:dyDescent="0.2">
      <c r="A117" s="1">
        <v>2.7839999999999998</v>
      </c>
      <c r="B117" s="15">
        <v>18794.8</v>
      </c>
      <c r="C117" s="15">
        <v>2492.7199999999998</v>
      </c>
      <c r="D117" s="15">
        <v>7.5427180040000001</v>
      </c>
      <c r="E117" s="39">
        <f t="shared" si="15"/>
        <v>271.92316275337396</v>
      </c>
      <c r="F117" s="39">
        <f t="shared" si="24"/>
        <v>0.11972089620644287</v>
      </c>
      <c r="G117" s="39">
        <f t="shared" si="25"/>
        <v>9.4463224023646033E-4</v>
      </c>
    </row>
    <row r="118" spans="1:17" x14ac:dyDescent="0.2">
      <c r="A118" s="1">
        <v>2.8079999999999998</v>
      </c>
      <c r="B118" s="15">
        <v>18534.28</v>
      </c>
      <c r="C118" s="15">
        <v>2452.2399999999998</v>
      </c>
      <c r="D118" s="15">
        <v>7.5621155849999999</v>
      </c>
      <c r="E118" s="39">
        <f t="shared" si="15"/>
        <v>271.52334438897162</v>
      </c>
      <c r="F118" s="39">
        <f t="shared" si="24"/>
        <v>0.12043346135534209</v>
      </c>
      <c r="G118" s="39">
        <f t="shared" si="25"/>
        <v>9.5069038506587959E-4</v>
      </c>
    </row>
    <row r="119" spans="1:17" x14ac:dyDescent="0.2">
      <c r="A119" s="1">
        <v>2.8319999999999999</v>
      </c>
      <c r="B119" s="15">
        <v>18281.28</v>
      </c>
      <c r="C119" s="15">
        <v>2414.2800000000002</v>
      </c>
      <c r="D119" s="15">
        <v>7.5812020349999996</v>
      </c>
      <c r="E119" s="39">
        <f t="shared" si="15"/>
        <v>271.132080352255</v>
      </c>
      <c r="F119" s="39">
        <f t="shared" si="24"/>
        <v>0.1210912006268046</v>
      </c>
      <c r="G119" s="39">
        <f t="shared" si="25"/>
        <v>9.5651771923392604E-4</v>
      </c>
    </row>
    <row r="120" spans="1:17" x14ac:dyDescent="0.2">
      <c r="A120" s="1">
        <v>2.8559999999999999</v>
      </c>
      <c r="B120" s="15">
        <v>18021.68</v>
      </c>
      <c r="C120" s="15">
        <v>2375</v>
      </c>
      <c r="D120" s="15">
        <v>7.6015739790000003</v>
      </c>
      <c r="E120" s="39">
        <f t="shared" si="15"/>
        <v>270.71678685059175</v>
      </c>
      <c r="F120" s="39">
        <f t="shared" si="24"/>
        <v>0.12178770649042821</v>
      </c>
      <c r="G120" s="39">
        <f t="shared" si="25"/>
        <v>9.6264846414929829E-4</v>
      </c>
    </row>
    <row r="121" spans="1:17" x14ac:dyDescent="0.2">
      <c r="A121" s="1">
        <v>2.88</v>
      </c>
      <c r="B121" s="15">
        <v>17775.629629999999</v>
      </c>
      <c r="C121" s="15">
        <v>2332.7777780000001</v>
      </c>
      <c r="D121" s="15">
        <v>7.6222581930000004</v>
      </c>
      <c r="E121" s="39">
        <f t="shared" si="15"/>
        <v>270.2975590201068</v>
      </c>
      <c r="F121" s="39">
        <f t="shared" ref="F121:F130" si="26" xml:space="preserve"> E121^2*(1/SQRT(C121)-1/SQRT(B121))/(H$7*SQRT(11*27))</f>
        <v>0.1180207394202981</v>
      </c>
      <c r="G121" s="39">
        <f t="shared" ref="G121:G130" si="27" xml:space="preserve"> E121*(1/SQRT(C121)+1/SQRT(B121))/(H$7*SQRT(11*27))</f>
        <v>9.3268658110618331E-4</v>
      </c>
    </row>
    <row r="122" spans="1:17" x14ac:dyDescent="0.2">
      <c r="A122" s="1">
        <v>2.9039999999999999</v>
      </c>
      <c r="B122" s="15">
        <v>17522.444439999999</v>
      </c>
      <c r="C122" s="15">
        <v>2293.5555559999998</v>
      </c>
      <c r="D122" s="15">
        <v>7.6427856710000004</v>
      </c>
      <c r="E122" s="39">
        <f t="shared" si="15"/>
        <v>269.88390770704586</v>
      </c>
      <c r="F122" s="39">
        <f t="shared" si="26"/>
        <v>0.1187495062362335</v>
      </c>
      <c r="G122" s="39">
        <f t="shared" si="27"/>
        <v>9.3886243878019322E-4</v>
      </c>
    </row>
    <row r="123" spans="1:17" x14ac:dyDescent="0.2">
      <c r="A123" s="1">
        <v>2.9279999999999999</v>
      </c>
      <c r="B123" s="15">
        <v>17269.518520000001</v>
      </c>
      <c r="C123" s="15">
        <v>2251.8888889999998</v>
      </c>
      <c r="D123" s="15">
        <v>7.6641358989999997</v>
      </c>
      <c r="E123" s="39">
        <f t="shared" si="15"/>
        <v>269.45618964632138</v>
      </c>
      <c r="F123" s="39">
        <f t="shared" si="26"/>
        <v>0.11959187894952492</v>
      </c>
      <c r="G123" s="39">
        <f t="shared" si="27"/>
        <v>9.4553051833775128E-4</v>
      </c>
    </row>
    <row r="124" spans="1:17" x14ac:dyDescent="0.2">
      <c r="A124" s="1">
        <v>2.952</v>
      </c>
      <c r="B124" s="15">
        <v>17003.296300000002</v>
      </c>
      <c r="C124" s="15">
        <v>2213.2222219999999</v>
      </c>
      <c r="D124" s="15">
        <v>7.6851248490000001</v>
      </c>
      <c r="E124" s="39">
        <f t="shared" si="15"/>
        <v>269.03818308521284</v>
      </c>
      <c r="F124" s="39">
        <f t="shared" si="26"/>
        <v>0.12031866000051979</v>
      </c>
      <c r="G124" s="39">
        <f t="shared" si="27"/>
        <v>9.5204949615008776E-4</v>
      </c>
    </row>
    <row r="125" spans="1:17" x14ac:dyDescent="0.2">
      <c r="A125" s="1">
        <v>2.976</v>
      </c>
      <c r="B125" s="15">
        <v>16746.962960000001</v>
      </c>
      <c r="C125" s="15">
        <v>2172.5925929999999</v>
      </c>
      <c r="D125" s="15">
        <v>7.70947768</v>
      </c>
      <c r="E125" s="39">
        <f t="shared" si="15"/>
        <v>268.55622643496611</v>
      </c>
      <c r="F125" s="39">
        <f t="shared" si="26"/>
        <v>0.1211176765823657</v>
      </c>
      <c r="G125" s="39">
        <f t="shared" si="27"/>
        <v>9.5876492948487521E-4</v>
      </c>
    </row>
    <row r="126" spans="1:17" s="17" customFormat="1" x14ac:dyDescent="0.2">
      <c r="A126" s="20">
        <v>3</v>
      </c>
      <c r="B126" s="21">
        <v>16503.22222</v>
      </c>
      <c r="C126" s="21">
        <v>2131.8518519999998</v>
      </c>
      <c r="D126" s="21">
        <v>7.733194643</v>
      </c>
      <c r="E126" s="45">
        <f t="shared" si="15"/>
        <v>268.08996420434397</v>
      </c>
      <c r="F126" s="45">
        <f t="shared" si="26"/>
        <v>0.12199156346198654</v>
      </c>
      <c r="G126" s="45">
        <f t="shared" si="27"/>
        <v>9.6565686364089205E-4</v>
      </c>
      <c r="H126" s="46"/>
      <c r="I126" s="36"/>
      <c r="J126" s="37"/>
      <c r="K126" s="25"/>
      <c r="L126" s="25"/>
      <c r="M126" s="22"/>
      <c r="N126" s="22"/>
      <c r="P126" s="21"/>
      <c r="Q126" s="18"/>
    </row>
    <row r="127" spans="1:17" x14ac:dyDescent="0.2">
      <c r="A127" s="1">
        <v>3.024</v>
      </c>
      <c r="B127" s="15">
        <v>16261.40741</v>
      </c>
      <c r="C127" s="15">
        <v>2097.8148150000002</v>
      </c>
      <c r="D127" s="15">
        <v>7.7564050929999997</v>
      </c>
      <c r="E127" s="39">
        <f t="shared" si="15"/>
        <v>267.63659998222425</v>
      </c>
      <c r="F127" s="39">
        <f t="shared" si="26"/>
        <v>0.1226075022744192</v>
      </c>
      <c r="G127" s="39">
        <f t="shared" si="27"/>
        <v>9.7164173306394893E-4</v>
      </c>
      <c r="I127" s="38"/>
    </row>
    <row r="128" spans="1:17" x14ac:dyDescent="0.2">
      <c r="A128" s="1">
        <v>3.048</v>
      </c>
      <c r="B128" s="15">
        <v>16022.851849999999</v>
      </c>
      <c r="C128" s="15">
        <v>2060.8888889999998</v>
      </c>
      <c r="D128" s="15">
        <v>7.7787001399999998</v>
      </c>
      <c r="E128" s="39">
        <f t="shared" si="15"/>
        <v>267.20382697816291</v>
      </c>
      <c r="F128" s="39">
        <f t="shared" si="26"/>
        <v>0.12340420395567196</v>
      </c>
      <c r="G128" s="39">
        <f t="shared" si="27"/>
        <v>9.783374974014227E-4</v>
      </c>
      <c r="I128" s="38"/>
    </row>
    <row r="129" spans="1:9" x14ac:dyDescent="0.2">
      <c r="A129" s="1">
        <v>3.0720000000000001</v>
      </c>
      <c r="B129" s="15">
        <v>15791.148150000001</v>
      </c>
      <c r="C129" s="15">
        <v>2027.3703700000001</v>
      </c>
      <c r="D129" s="15">
        <v>7.7994827029999998</v>
      </c>
      <c r="E129" s="39">
        <f t="shared" si="15"/>
        <v>266.80278199557637</v>
      </c>
      <c r="F129" s="39">
        <f t="shared" si="26"/>
        <v>0.12411042914477223</v>
      </c>
      <c r="G129" s="39">
        <f t="shared" si="27"/>
        <v>9.8467333824540232E-4</v>
      </c>
      <c r="I129" s="38"/>
    </row>
    <row r="130" spans="1:9" x14ac:dyDescent="0.2">
      <c r="A130" s="1">
        <v>3.0960000000000001</v>
      </c>
      <c r="B130" s="15">
        <v>15559.259260000001</v>
      </c>
      <c r="C130" s="15">
        <v>1984.5925930000001</v>
      </c>
      <c r="D130" s="15">
        <v>7.8195821150000002</v>
      </c>
      <c r="E130" s="39">
        <f t="shared" si="15"/>
        <v>266.41707415566782</v>
      </c>
      <c r="F130" s="39">
        <f t="shared" si="26"/>
        <v>0.1253062075439309</v>
      </c>
      <c r="G130" s="39">
        <f t="shared" si="27"/>
        <v>9.9293544418424117E-4</v>
      </c>
      <c r="I130" s="38"/>
    </row>
    <row r="131" spans="1:9" x14ac:dyDescent="0.2">
      <c r="A131" s="1">
        <v>3.12</v>
      </c>
      <c r="B131" s="15">
        <v>15337.413790000001</v>
      </c>
      <c r="C131" s="15">
        <v>1954.068966</v>
      </c>
      <c r="D131" s="15">
        <v>7.8375409310000004</v>
      </c>
      <c r="E131" s="39">
        <f t="shared" ref="E131:E194" si="28" xml:space="preserve"> H$7/(LN(D131)-H$4)</f>
        <v>266.07422090337548</v>
      </c>
      <c r="F131" s="39">
        <f t="shared" ref="F131:F140" si="29" xml:space="preserve"> E131^2*(1/SQRT(C131)-1/SQRT(B131))/(H$7*SQRT(11*29))</f>
        <v>0.12157381697565463</v>
      </c>
      <c r="G131" s="39">
        <f t="shared" ref="G131:G140" si="30" xml:space="preserve"> E131*(1/SQRT(C131)+1/SQRT(B131))/(H$7*SQRT(11*29))</f>
        <v>9.6415154834076755E-4</v>
      </c>
      <c r="I131" s="38"/>
    </row>
    <row r="132" spans="1:9" x14ac:dyDescent="0.2">
      <c r="A132" s="1">
        <v>3.1440000000000001</v>
      </c>
      <c r="B132" s="15">
        <v>15103.65517</v>
      </c>
      <c r="C132" s="15">
        <v>1917.862069</v>
      </c>
      <c r="D132" s="15">
        <v>7.8544904410000003</v>
      </c>
      <c r="E132" s="39">
        <f t="shared" si="28"/>
        <v>265.75216204619113</v>
      </c>
      <c r="F132" s="39">
        <f t="shared" si="29"/>
        <v>0.12253267103427887</v>
      </c>
      <c r="G132" s="39">
        <f t="shared" si="30"/>
        <v>9.7160480981165799E-4</v>
      </c>
      <c r="I132" s="38"/>
    </row>
    <row r="133" spans="1:9" x14ac:dyDescent="0.2">
      <c r="A133" s="1">
        <v>3.1680000000000001</v>
      </c>
      <c r="B133" s="15">
        <v>14878.37931</v>
      </c>
      <c r="C133" s="15">
        <v>1886.8965519999999</v>
      </c>
      <c r="D133" s="15">
        <v>7.872054994</v>
      </c>
      <c r="E133" s="39">
        <f t="shared" si="28"/>
        <v>265.41996800292583</v>
      </c>
      <c r="F133" s="39">
        <f t="shared" si="29"/>
        <v>0.12326798708419888</v>
      </c>
      <c r="G133" s="39">
        <f t="shared" si="30"/>
        <v>9.7815975231976869E-4</v>
      </c>
      <c r="I133" s="38"/>
    </row>
    <row r="134" spans="1:9" x14ac:dyDescent="0.2">
      <c r="A134" s="1">
        <v>3.1920000000000002</v>
      </c>
      <c r="B134" s="15">
        <v>14654.241379999999</v>
      </c>
      <c r="C134" s="15">
        <v>1855.5517239999999</v>
      </c>
      <c r="D134" s="15">
        <v>7.889038201</v>
      </c>
      <c r="E134" s="39">
        <f t="shared" si="28"/>
        <v>265.10025906929576</v>
      </c>
      <c r="F134" s="39">
        <f t="shared" si="29"/>
        <v>0.12405938609728871</v>
      </c>
      <c r="G134" s="39">
        <f t="shared" si="30"/>
        <v>9.8499549303129701E-4</v>
      </c>
      <c r="I134" s="38"/>
    </row>
    <row r="135" spans="1:9" x14ac:dyDescent="0.2">
      <c r="A135" s="1">
        <v>3.2160000000000002</v>
      </c>
      <c r="B135" s="15">
        <v>14426.68966</v>
      </c>
      <c r="C135" s="15">
        <v>1825.3103450000001</v>
      </c>
      <c r="D135" s="15">
        <v>7.9071529849999997</v>
      </c>
      <c r="E135" s="39">
        <f t="shared" si="28"/>
        <v>264.76085082892951</v>
      </c>
      <c r="F135" s="39">
        <f t="shared" si="29"/>
        <v>0.12478972633413916</v>
      </c>
      <c r="G135" s="39">
        <f t="shared" si="30"/>
        <v>9.9174829754787152E-4</v>
      </c>
      <c r="I135" s="38"/>
    </row>
    <row r="136" spans="1:9" x14ac:dyDescent="0.2">
      <c r="A136" s="1">
        <v>3.24</v>
      </c>
      <c r="B136" s="15">
        <v>14205.68966</v>
      </c>
      <c r="C136" s="15">
        <v>1796.862069</v>
      </c>
      <c r="D136" s="15">
        <v>7.9221775819999998</v>
      </c>
      <c r="E136" s="39">
        <f t="shared" si="28"/>
        <v>264.48058801593191</v>
      </c>
      <c r="F136" s="39">
        <f t="shared" si="29"/>
        <v>0.12551694129547311</v>
      </c>
      <c r="G136" s="39">
        <f t="shared" si="30"/>
        <v>9.9847468100554108E-4</v>
      </c>
      <c r="I136" s="38"/>
    </row>
    <row r="137" spans="1:9" x14ac:dyDescent="0.2">
      <c r="A137" s="1">
        <v>3.2639999999999998</v>
      </c>
      <c r="B137" s="15">
        <v>13987.206899999999</v>
      </c>
      <c r="C137" s="15">
        <v>1764.344828</v>
      </c>
      <c r="D137" s="15">
        <v>7.9380007470000002</v>
      </c>
      <c r="E137" s="39">
        <f t="shared" si="28"/>
        <v>264.18664199579109</v>
      </c>
      <c r="F137" s="39">
        <f t="shared" si="29"/>
        <v>0.12648321483246386</v>
      </c>
      <c r="G137" s="39">
        <f t="shared" si="30"/>
        <v>1.0061492871956241E-3</v>
      </c>
      <c r="I137" s="38"/>
    </row>
    <row r="138" spans="1:9" x14ac:dyDescent="0.2">
      <c r="A138" s="1">
        <v>3.2879999999999998</v>
      </c>
      <c r="B138" s="15">
        <v>13778.206899999999</v>
      </c>
      <c r="C138" s="15">
        <v>1734.2413790000001</v>
      </c>
      <c r="D138" s="15">
        <v>7.9532518149999998</v>
      </c>
      <c r="E138" s="39">
        <f t="shared" si="28"/>
        <v>263.9044937242615</v>
      </c>
      <c r="F138" s="39">
        <f t="shared" si="29"/>
        <v>0.12737939003424975</v>
      </c>
      <c r="G138" s="39">
        <f t="shared" si="30"/>
        <v>1.0134743473969327E-3</v>
      </c>
      <c r="I138" s="38"/>
    </row>
    <row r="139" spans="1:9" x14ac:dyDescent="0.2">
      <c r="A139" s="1">
        <v>3.3119999999999998</v>
      </c>
      <c r="B139" s="15">
        <v>13564</v>
      </c>
      <c r="C139" s="15">
        <v>1703.6896549999999</v>
      </c>
      <c r="D139" s="15">
        <v>7.9685573300000003</v>
      </c>
      <c r="E139" s="39">
        <f t="shared" si="28"/>
        <v>263.62248509628353</v>
      </c>
      <c r="F139" s="39">
        <f t="shared" si="29"/>
        <v>0.12831609672893771</v>
      </c>
      <c r="G139" s="39">
        <f t="shared" si="30"/>
        <v>1.0211470960044833E-3</v>
      </c>
      <c r="I139" s="38"/>
    </row>
    <row r="140" spans="1:9" x14ac:dyDescent="0.2">
      <c r="A140" s="1">
        <v>3.3359999999999999</v>
      </c>
      <c r="B140" s="15">
        <v>13354.68966</v>
      </c>
      <c r="C140" s="15">
        <v>1671.793103</v>
      </c>
      <c r="D140" s="15">
        <v>7.9846508900000002</v>
      </c>
      <c r="E140" s="39">
        <f t="shared" si="28"/>
        <v>263.32718752113544</v>
      </c>
      <c r="F140" s="39">
        <f t="shared" si="29"/>
        <v>0.12936303396555521</v>
      </c>
      <c r="G140" s="39">
        <f t="shared" si="30"/>
        <v>1.0292370784436855E-3</v>
      </c>
      <c r="I140" s="38"/>
    </row>
    <row r="141" spans="1:9" x14ac:dyDescent="0.2">
      <c r="A141" s="1">
        <v>3.36</v>
      </c>
      <c r="B141" s="15">
        <v>13161.74194</v>
      </c>
      <c r="C141" s="15">
        <v>1644.1290320000001</v>
      </c>
      <c r="D141" s="15">
        <v>8.0012429409999992</v>
      </c>
      <c r="E141" s="39">
        <f t="shared" si="28"/>
        <v>263.02405539260678</v>
      </c>
      <c r="F141" s="39">
        <f t="shared" ref="F141:F150" si="31" xml:space="preserve"> E141^2*(1/SQRT(C141)-1/SQRT(B141))/(H$7*SQRT(11*31))</f>
        <v>0.12595185138786652</v>
      </c>
      <c r="G141" s="39">
        <f t="shared" ref="G141:G150" si="32" xml:space="preserve"> E141*(1/SQRT(C141)+1/SQRT(B141))/(H$7*SQRT(11*31))</f>
        <v>1.002387582353123E-3</v>
      </c>
      <c r="I141" s="38"/>
    </row>
    <row r="142" spans="1:9" x14ac:dyDescent="0.2">
      <c r="A142" s="1">
        <v>3.3839999999999999</v>
      </c>
      <c r="B142" s="15">
        <v>12964.41935</v>
      </c>
      <c r="C142" s="15">
        <v>1615.9032259999999</v>
      </c>
      <c r="D142" s="15">
        <v>8.0191235659999993</v>
      </c>
      <c r="E142" s="39">
        <f t="shared" si="28"/>
        <v>262.69886209774279</v>
      </c>
      <c r="F142" s="39">
        <f t="shared" si="31"/>
        <v>0.12680970873954628</v>
      </c>
      <c r="G142" s="39">
        <f t="shared" si="32"/>
        <v>1.0095628164219844E-3</v>
      </c>
      <c r="I142" s="38"/>
    </row>
    <row r="143" spans="1:9" x14ac:dyDescent="0.2">
      <c r="A143" s="1">
        <v>3.4079999999999999</v>
      </c>
      <c r="B143" s="15">
        <v>12768.16129</v>
      </c>
      <c r="C143" s="15">
        <v>1587.4838709999999</v>
      </c>
      <c r="D143" s="15">
        <v>8.0358253800000004</v>
      </c>
      <c r="E143" s="39">
        <f t="shared" si="28"/>
        <v>262.3964852265841</v>
      </c>
      <c r="F143" s="39">
        <f t="shared" si="31"/>
        <v>0.12773206047054589</v>
      </c>
      <c r="G143" s="39">
        <f t="shared" si="32"/>
        <v>1.0170567214672023E-3</v>
      </c>
      <c r="I143" s="38"/>
    </row>
    <row r="144" spans="1:9" x14ac:dyDescent="0.2">
      <c r="A144" s="1">
        <v>3.4319999999999999</v>
      </c>
      <c r="B144" s="15">
        <v>12574.83871</v>
      </c>
      <c r="C144" s="15">
        <v>1561.419355</v>
      </c>
      <c r="D144" s="15">
        <v>8.0507353770000005</v>
      </c>
      <c r="E144" s="39">
        <f t="shared" si="28"/>
        <v>262.12766444377866</v>
      </c>
      <c r="F144" s="39">
        <f t="shared" si="31"/>
        <v>0.12857542165389146</v>
      </c>
      <c r="G144" s="39">
        <f t="shared" si="32"/>
        <v>1.0242864485366346E-3</v>
      </c>
      <c r="I144" s="38"/>
    </row>
    <row r="145" spans="1:9" x14ac:dyDescent="0.2">
      <c r="A145" s="1">
        <v>3.456</v>
      </c>
      <c r="B145" s="15">
        <v>12380.35484</v>
      </c>
      <c r="C145" s="15">
        <v>1533.258065</v>
      </c>
      <c r="D145" s="15">
        <v>8.0642426579999995</v>
      </c>
      <c r="E145" s="39">
        <f t="shared" si="28"/>
        <v>261.88503731674894</v>
      </c>
      <c r="F145" s="39">
        <f t="shared" si="31"/>
        <v>0.12960275292402906</v>
      </c>
      <c r="G145" s="39">
        <f t="shared" si="32"/>
        <v>1.0323420362968608E-3</v>
      </c>
      <c r="I145" s="38"/>
    </row>
    <row r="146" spans="1:9" x14ac:dyDescent="0.2">
      <c r="A146" s="1">
        <v>3.48</v>
      </c>
      <c r="B146" s="15">
        <v>12191.3871</v>
      </c>
      <c r="C146" s="15">
        <v>1507.6774190000001</v>
      </c>
      <c r="D146" s="15">
        <v>8.0746022740000001</v>
      </c>
      <c r="E146" s="39">
        <f t="shared" si="28"/>
        <v>261.69952942515522</v>
      </c>
      <c r="F146" s="39">
        <f t="shared" si="31"/>
        <v>0.13056364110755359</v>
      </c>
      <c r="G146" s="39">
        <f t="shared" si="32"/>
        <v>1.0401302203668045E-3</v>
      </c>
      <c r="I146" s="38"/>
    </row>
    <row r="147" spans="1:9" x14ac:dyDescent="0.2">
      <c r="A147" s="1">
        <v>3.504</v>
      </c>
      <c r="B147" s="15">
        <v>12005.58065</v>
      </c>
      <c r="C147" s="15">
        <v>1481.7096770000001</v>
      </c>
      <c r="D147" s="15">
        <v>8.0857844809999992</v>
      </c>
      <c r="E147" s="39">
        <f t="shared" si="28"/>
        <v>261.49985256919211</v>
      </c>
      <c r="F147" s="39">
        <f t="shared" si="31"/>
        <v>0.13157371604140095</v>
      </c>
      <c r="G147" s="39">
        <f t="shared" si="32"/>
        <v>1.0481297508617901E-3</v>
      </c>
      <c r="I147" s="38"/>
    </row>
    <row r="148" spans="1:9" x14ac:dyDescent="0.2">
      <c r="A148" s="1">
        <v>3.528</v>
      </c>
      <c r="B148" s="15">
        <v>11823.58065</v>
      </c>
      <c r="C148" s="15">
        <v>1457.6451609999999</v>
      </c>
      <c r="D148" s="15">
        <v>8.0958552390000005</v>
      </c>
      <c r="E148" s="39">
        <f t="shared" si="28"/>
        <v>261.32051877301473</v>
      </c>
      <c r="F148" s="39">
        <f t="shared" si="31"/>
        <v>0.13251287246498733</v>
      </c>
      <c r="G148" s="39">
        <f t="shared" si="32"/>
        <v>1.0558707310579353E-3</v>
      </c>
      <c r="I148" s="38"/>
    </row>
    <row r="149" spans="1:9" x14ac:dyDescent="0.2">
      <c r="A149" s="1">
        <v>3.552</v>
      </c>
      <c r="B149" s="15">
        <v>11637.19355</v>
      </c>
      <c r="C149" s="15">
        <v>1435.1290320000001</v>
      </c>
      <c r="D149" s="15">
        <v>8.10624213</v>
      </c>
      <c r="E149" s="39">
        <f t="shared" si="28"/>
        <v>261.13604602186041</v>
      </c>
      <c r="F149" s="39">
        <f t="shared" si="31"/>
        <v>0.13334823488399764</v>
      </c>
      <c r="G149" s="39">
        <f t="shared" si="32"/>
        <v>1.0634147372804088E-3</v>
      </c>
      <c r="I149" s="38"/>
    </row>
    <row r="150" spans="1:9" x14ac:dyDescent="0.2">
      <c r="A150" s="1">
        <v>3.5760000000000001</v>
      </c>
      <c r="B150" s="15">
        <v>11455.41935</v>
      </c>
      <c r="C150" s="15">
        <v>1412.4838709999999</v>
      </c>
      <c r="D150" s="15">
        <v>8.1149998199999995</v>
      </c>
      <c r="E150" s="39">
        <f t="shared" si="28"/>
        <v>260.98089360708144</v>
      </c>
      <c r="F150" s="39">
        <f t="shared" si="31"/>
        <v>0.13425911201501689</v>
      </c>
      <c r="G150" s="39">
        <f t="shared" si="32"/>
        <v>1.0712458938302387E-3</v>
      </c>
      <c r="I150" s="38"/>
    </row>
    <row r="151" spans="1:9" x14ac:dyDescent="0.2">
      <c r="A151" s="1">
        <v>3.6</v>
      </c>
      <c r="B151" s="15">
        <v>11288.81818</v>
      </c>
      <c r="C151" s="15">
        <v>1393.30303</v>
      </c>
      <c r="D151" s="15">
        <v>8.1231625140000006</v>
      </c>
      <c r="E151" s="39">
        <f t="shared" si="28"/>
        <v>260.83659856500606</v>
      </c>
      <c r="F151" s="39">
        <f t="shared" ref="F151:F160" si="33" xml:space="preserve"> E151^2*(1/SQRT(C151)-1/SQRT(B151))/(H$7*SQRT(11*33))</f>
        <v>0.13084023020629082</v>
      </c>
      <c r="G151" s="39">
        <f t="shared" ref="G151:G160" si="34" xml:space="preserve"> E151*(1/SQRT(C151)+1/SQRT(B151))/(H$7*SQRT(11*33))</f>
        <v>1.0449535919425331E-3</v>
      </c>
      <c r="I151" s="38"/>
    </row>
    <row r="152" spans="1:9" x14ac:dyDescent="0.2">
      <c r="A152" s="1">
        <v>3.6240000000000001</v>
      </c>
      <c r="B152" s="15">
        <v>11115.57576</v>
      </c>
      <c r="C152" s="15">
        <v>1367.5151519999999</v>
      </c>
      <c r="D152" s="15">
        <v>8.1335681100000006</v>
      </c>
      <c r="E152" s="39">
        <f t="shared" si="28"/>
        <v>260.65309575508434</v>
      </c>
      <c r="F152" s="39">
        <f t="shared" si="33"/>
        <v>0.13199714606731425</v>
      </c>
      <c r="G152" s="39">
        <f t="shared" si="34"/>
        <v>1.0535777769527044E-3</v>
      </c>
      <c r="I152" s="38"/>
    </row>
    <row r="153" spans="1:9" x14ac:dyDescent="0.2">
      <c r="A153" s="1">
        <v>3.6480000000000001</v>
      </c>
      <c r="B153" s="15">
        <v>10950.06061</v>
      </c>
      <c r="C153" s="15">
        <v>1346.242424</v>
      </c>
      <c r="D153" s="15">
        <v>8.1448919190000009</v>
      </c>
      <c r="E153" s="39">
        <f t="shared" si="28"/>
        <v>260.45395936387996</v>
      </c>
      <c r="F153" s="39">
        <f t="shared" si="33"/>
        <v>0.13285697937755669</v>
      </c>
      <c r="G153" s="39">
        <f t="shared" si="34"/>
        <v>1.060964913279032E-3</v>
      </c>
      <c r="I153" s="38"/>
    </row>
    <row r="154" spans="1:9" x14ac:dyDescent="0.2">
      <c r="A154" s="1">
        <v>3.6720000000000002</v>
      </c>
      <c r="B154" s="15">
        <v>10789.848480000001</v>
      </c>
      <c r="C154" s="15">
        <v>1322.727273</v>
      </c>
      <c r="D154" s="15">
        <v>8.1561294479999997</v>
      </c>
      <c r="E154" s="39">
        <f t="shared" si="28"/>
        <v>260.25691373280637</v>
      </c>
      <c r="F154" s="39">
        <f t="shared" si="33"/>
        <v>0.13393406909395003</v>
      </c>
      <c r="G154" s="39">
        <f t="shared" si="34"/>
        <v>1.069144523862721E-3</v>
      </c>
      <c r="I154" s="38"/>
    </row>
    <row r="155" spans="1:9" x14ac:dyDescent="0.2">
      <c r="A155" s="1">
        <v>3.6960000000000002</v>
      </c>
      <c r="B155" s="15">
        <v>10623.63636</v>
      </c>
      <c r="C155" s="15">
        <v>1303.5454549999999</v>
      </c>
      <c r="D155" s="15">
        <v>8.167274248</v>
      </c>
      <c r="E155" s="39">
        <f t="shared" si="28"/>
        <v>260.06205566803379</v>
      </c>
      <c r="F155" s="39">
        <f t="shared" si="33"/>
        <v>0.13468068028805763</v>
      </c>
      <c r="G155" s="39">
        <f t="shared" si="34"/>
        <v>1.0763036521091493E-3</v>
      </c>
      <c r="I155" s="38"/>
    </row>
    <row r="156" spans="1:9" x14ac:dyDescent="0.2">
      <c r="A156" s="1">
        <v>3.72</v>
      </c>
      <c r="B156" s="15">
        <v>10466.42424</v>
      </c>
      <c r="C156" s="15">
        <v>1281.969697</v>
      </c>
      <c r="D156" s="15">
        <v>8.1782013869999997</v>
      </c>
      <c r="E156" s="39">
        <f t="shared" si="28"/>
        <v>259.87154373643773</v>
      </c>
      <c r="F156" s="39">
        <f t="shared" si="33"/>
        <v>0.13567548079759428</v>
      </c>
      <c r="G156" s="39">
        <f t="shared" si="34"/>
        <v>1.084277523033286E-3</v>
      </c>
      <c r="I156" s="38"/>
    </row>
    <row r="157" spans="1:9" x14ac:dyDescent="0.2">
      <c r="A157" s="1">
        <v>3.7440000000000002</v>
      </c>
      <c r="B157" s="15">
        <v>10306</v>
      </c>
      <c r="C157" s="15">
        <v>1256.727273</v>
      </c>
      <c r="D157" s="15">
        <v>8.1914930120000005</v>
      </c>
      <c r="E157" s="39">
        <f t="shared" si="28"/>
        <v>259.64052547961194</v>
      </c>
      <c r="F157" s="39">
        <f t="shared" si="33"/>
        <v>0.13695109708537787</v>
      </c>
      <c r="G157" s="39">
        <f t="shared" si="34"/>
        <v>1.093510082259999E-3</v>
      </c>
      <c r="I157" s="38"/>
    </row>
    <row r="158" spans="1:9" x14ac:dyDescent="0.2">
      <c r="A158" s="1">
        <v>3.7679999999999998</v>
      </c>
      <c r="B158" s="15">
        <v>10154.21212</v>
      </c>
      <c r="C158" s="15">
        <v>1234.242424</v>
      </c>
      <c r="D158" s="15">
        <v>8.2041872659999999</v>
      </c>
      <c r="E158" s="39">
        <f t="shared" si="28"/>
        <v>259.42062190016509</v>
      </c>
      <c r="F158" s="39">
        <f t="shared" si="33"/>
        <v>0.13807786947907197</v>
      </c>
      <c r="G158" s="39">
        <f t="shared" si="34"/>
        <v>1.1020326418551003E-3</v>
      </c>
      <c r="I158" s="38"/>
    </row>
    <row r="159" spans="1:9" x14ac:dyDescent="0.2">
      <c r="A159" s="1">
        <v>3.7919999999999998</v>
      </c>
      <c r="B159" s="15">
        <v>9999.3333330000005</v>
      </c>
      <c r="C159" s="15">
        <v>1214.242424</v>
      </c>
      <c r="D159" s="15">
        <v>8.2154578049999998</v>
      </c>
      <c r="E159" s="39">
        <f t="shared" si="28"/>
        <v>259.22597768559189</v>
      </c>
      <c r="F159" s="39">
        <f t="shared" si="33"/>
        <v>0.13903751281683879</v>
      </c>
      <c r="G159" s="39">
        <f t="shared" si="34"/>
        <v>1.1100991102941497E-3</v>
      </c>
      <c r="I159" s="38"/>
    </row>
    <row r="160" spans="1:9" x14ac:dyDescent="0.2">
      <c r="A160" s="1">
        <v>3.8159999999999998</v>
      </c>
      <c r="B160" s="15">
        <v>9850</v>
      </c>
      <c r="C160" s="15">
        <v>1196.636364</v>
      </c>
      <c r="D160" s="15">
        <v>8.2264052830000001</v>
      </c>
      <c r="E160" s="39">
        <f t="shared" si="28"/>
        <v>259.03744715772172</v>
      </c>
      <c r="F160" s="39">
        <f t="shared" si="33"/>
        <v>0.13983645446029677</v>
      </c>
      <c r="G160" s="39">
        <f t="shared" si="34"/>
        <v>1.1174861463047446E-3</v>
      </c>
      <c r="I160" s="38"/>
    </row>
    <row r="161" spans="1:9" x14ac:dyDescent="0.2">
      <c r="A161" s="1">
        <v>3.84</v>
      </c>
      <c r="B161" s="15">
        <v>9718.6</v>
      </c>
      <c r="C161" s="15">
        <v>1180.828571</v>
      </c>
      <c r="D161" s="15">
        <v>8.2384947989999997</v>
      </c>
      <c r="E161" s="39">
        <f t="shared" si="28"/>
        <v>258.82985816965169</v>
      </c>
      <c r="F161" s="39">
        <f t="shared" ref="F161:F170" si="35" xml:space="preserve"> E161^2*(1/SQRT(C161)-1/SQRT(B161))/(H$7*SQRT(11*35))</f>
        <v>0.13646440068263863</v>
      </c>
      <c r="G161" s="39">
        <f t="shared" ref="G161:G170" si="36" xml:space="preserve"> E161*(1/SQRT(C161)+1/SQRT(B161))/(H$7*SQRT(11*35))</f>
        <v>1.0914704437314652E-3</v>
      </c>
      <c r="I161" s="38"/>
    </row>
    <row r="162" spans="1:9" x14ac:dyDescent="0.2">
      <c r="A162" s="1">
        <v>3.8639999999999999</v>
      </c>
      <c r="B162" s="15">
        <v>9577.3428569999996</v>
      </c>
      <c r="C162" s="15">
        <v>1161.114286</v>
      </c>
      <c r="D162" s="15">
        <v>8.2534397909999999</v>
      </c>
      <c r="E162" s="39">
        <f t="shared" si="28"/>
        <v>258.57411672182269</v>
      </c>
      <c r="F162" s="39">
        <f t="shared" si="35"/>
        <v>0.1374268133647015</v>
      </c>
      <c r="G162" s="39">
        <f t="shared" si="36"/>
        <v>1.0992980486754719E-3</v>
      </c>
      <c r="I162" s="38"/>
    </row>
    <row r="163" spans="1:9" x14ac:dyDescent="0.2">
      <c r="A163" s="1">
        <v>3.8879999999999999</v>
      </c>
      <c r="B163" s="15">
        <v>9435.3714290000007</v>
      </c>
      <c r="C163" s="15">
        <v>1141.2</v>
      </c>
      <c r="D163" s="15">
        <v>8.2693364230000004</v>
      </c>
      <c r="E163" s="39">
        <f t="shared" si="28"/>
        <v>258.30315092115683</v>
      </c>
      <c r="F163" s="39">
        <f t="shared" si="35"/>
        <v>0.13841765566460462</v>
      </c>
      <c r="G163" s="39">
        <f t="shared" si="36"/>
        <v>1.1073480145135518E-3</v>
      </c>
      <c r="I163" s="38"/>
    </row>
    <row r="164" spans="1:9" x14ac:dyDescent="0.2">
      <c r="A164" s="1">
        <v>3.9119999999999999</v>
      </c>
      <c r="B164" s="15">
        <v>9297.5428570000004</v>
      </c>
      <c r="C164" s="15">
        <v>1125.9142859999999</v>
      </c>
      <c r="D164" s="15">
        <v>8.2831164620000006</v>
      </c>
      <c r="E164" s="39">
        <f t="shared" si="28"/>
        <v>258.0691425128465</v>
      </c>
      <c r="F164" s="39">
        <f t="shared" si="35"/>
        <v>0.13905605940074658</v>
      </c>
      <c r="G164" s="39">
        <f t="shared" si="36"/>
        <v>1.1140063938310486E-3</v>
      </c>
      <c r="I164" s="38"/>
    </row>
    <row r="165" spans="1:9" x14ac:dyDescent="0.2">
      <c r="A165" s="1">
        <v>3.9359999999999999</v>
      </c>
      <c r="B165" s="15">
        <v>9160.5714289999996</v>
      </c>
      <c r="C165" s="15">
        <v>1106.6571429999999</v>
      </c>
      <c r="D165" s="15">
        <v>8.2971913500000003</v>
      </c>
      <c r="E165" s="39">
        <f t="shared" si="28"/>
        <v>257.83096480643866</v>
      </c>
      <c r="F165" s="39">
        <f t="shared" si="35"/>
        <v>0.14009191434952739</v>
      </c>
      <c r="G165" s="39">
        <f t="shared" si="36"/>
        <v>1.1222710581014037E-3</v>
      </c>
      <c r="I165" s="38"/>
    </row>
    <row r="166" spans="1:9" x14ac:dyDescent="0.2">
      <c r="A166" s="1">
        <v>3.96</v>
      </c>
      <c r="B166" s="15">
        <v>9028</v>
      </c>
      <c r="C166" s="15">
        <v>1089.9714289999999</v>
      </c>
      <c r="D166" s="15">
        <v>8.3125263960000009</v>
      </c>
      <c r="E166" s="39">
        <f t="shared" si="28"/>
        <v>257.57242055837287</v>
      </c>
      <c r="F166" s="39">
        <f t="shared" si="35"/>
        <v>0.14090023693883214</v>
      </c>
      <c r="G166" s="39">
        <f t="shared" si="36"/>
        <v>1.1296050187994473E-3</v>
      </c>
      <c r="I166" s="38"/>
    </row>
    <row r="167" spans="1:9" x14ac:dyDescent="0.2">
      <c r="A167" s="1">
        <v>3.984</v>
      </c>
      <c r="B167" s="15">
        <v>8899.6</v>
      </c>
      <c r="C167" s="15">
        <v>1068.5428569999999</v>
      </c>
      <c r="D167" s="15">
        <v>8.3292229019999997</v>
      </c>
      <c r="E167" s="39">
        <f t="shared" si="28"/>
        <v>257.29205155957635</v>
      </c>
      <c r="F167" s="39">
        <f t="shared" si="35"/>
        <v>0.14220521401359071</v>
      </c>
      <c r="G167" s="39">
        <f t="shared" si="36"/>
        <v>1.1388219129685581E-3</v>
      </c>
      <c r="I167" s="38"/>
    </row>
    <row r="168" spans="1:9" x14ac:dyDescent="0.2">
      <c r="A168" s="1">
        <v>4.008</v>
      </c>
      <c r="B168" s="15">
        <v>8773.4857140000004</v>
      </c>
      <c r="C168" s="15">
        <v>1047.5142860000001</v>
      </c>
      <c r="D168" s="15">
        <v>8.344971546</v>
      </c>
      <c r="E168" s="39">
        <f t="shared" si="28"/>
        <v>257.02867090856302</v>
      </c>
      <c r="F168" s="39">
        <f t="shared" si="35"/>
        <v>0.14354423257433074</v>
      </c>
      <c r="G168" s="39">
        <f t="shared" si="36"/>
        <v>1.1481911607444325E-3</v>
      </c>
      <c r="I168" s="38"/>
    </row>
    <row r="169" spans="1:9" x14ac:dyDescent="0.2">
      <c r="A169" s="1">
        <v>4.032</v>
      </c>
      <c r="B169" s="15">
        <v>8647.2571430000007</v>
      </c>
      <c r="C169" s="15">
        <v>1032.057143</v>
      </c>
      <c r="D169" s="15">
        <v>8.360488299</v>
      </c>
      <c r="E169" s="39">
        <f t="shared" si="28"/>
        <v>256.77017945697179</v>
      </c>
      <c r="F169" s="39">
        <f t="shared" si="35"/>
        <v>0.14433868662109159</v>
      </c>
      <c r="G169" s="39">
        <f t="shared" si="36"/>
        <v>1.1555386236967364E-3</v>
      </c>
      <c r="I169" s="38"/>
    </row>
    <row r="170" spans="1:9" x14ac:dyDescent="0.2">
      <c r="A170" s="1">
        <v>4.056</v>
      </c>
      <c r="B170" s="15">
        <v>8521.942857</v>
      </c>
      <c r="C170" s="15">
        <v>1015.742857</v>
      </c>
      <c r="D170" s="15">
        <v>8.3775960939999994</v>
      </c>
      <c r="E170" s="39">
        <f t="shared" si="28"/>
        <v>256.48633870319088</v>
      </c>
      <c r="F170" s="39">
        <f t="shared" si="35"/>
        <v>0.14522289316804865</v>
      </c>
      <c r="G170" s="39">
        <f t="shared" si="36"/>
        <v>1.1632943867045677E-3</v>
      </c>
      <c r="I170" s="38"/>
    </row>
    <row r="171" spans="1:9" x14ac:dyDescent="0.2">
      <c r="A171" s="1">
        <v>4.08</v>
      </c>
      <c r="B171" s="15">
        <v>8415.7567569999992</v>
      </c>
      <c r="C171" s="15">
        <v>1001.864865</v>
      </c>
      <c r="D171" s="15">
        <v>8.3959175310000003</v>
      </c>
      <c r="E171" s="39">
        <f t="shared" si="28"/>
        <v>256.18369692475636</v>
      </c>
      <c r="F171" s="39">
        <f t="shared" ref="F171:F180" si="37" xml:space="preserve"> E171^2*(1/SQRT(C171)-1/SQRT(B171))/(H$7*SQRT(11*37))</f>
        <v>0.14192846669731321</v>
      </c>
      <c r="G171" s="39">
        <f t="shared" ref="G171:G180" si="38" xml:space="preserve"> E171*(1/SQRT(C171)+1/SQRT(B171))/(H$7*SQRT(11*37))</f>
        <v>1.1377044812386919E-3</v>
      </c>
      <c r="I171" s="38"/>
    </row>
    <row r="172" spans="1:9" x14ac:dyDescent="0.2">
      <c r="A172" s="1">
        <v>4.1040000000000001</v>
      </c>
      <c r="B172" s="15">
        <v>8293.4594589999997</v>
      </c>
      <c r="C172" s="15">
        <v>985.67567570000006</v>
      </c>
      <c r="D172" s="15">
        <v>8.4153347469999993</v>
      </c>
      <c r="E172" s="39">
        <f t="shared" si="28"/>
        <v>255.86445051566278</v>
      </c>
      <c r="F172" s="39">
        <f t="shared" si="37"/>
        <v>0.14279496530797042</v>
      </c>
      <c r="G172" s="39">
        <f t="shared" si="38"/>
        <v>1.1453374564239238E-3</v>
      </c>
      <c r="I172" s="38"/>
    </row>
    <row r="173" spans="1:9" x14ac:dyDescent="0.2">
      <c r="A173" s="1">
        <v>4.1280000000000001</v>
      </c>
      <c r="B173" s="15">
        <v>8174</v>
      </c>
      <c r="C173" s="15">
        <v>970.59459460000005</v>
      </c>
      <c r="D173" s="15">
        <v>8.4346243150000006</v>
      </c>
      <c r="E173" s="39">
        <f t="shared" si="28"/>
        <v>255.5488155146833</v>
      </c>
      <c r="F173" s="39">
        <f t="shared" si="37"/>
        <v>0.1435795937528323</v>
      </c>
      <c r="G173" s="39">
        <f t="shared" si="38"/>
        <v>1.152643056146837E-3</v>
      </c>
      <c r="I173" s="38"/>
    </row>
    <row r="174" spans="1:9" x14ac:dyDescent="0.2">
      <c r="A174" s="1">
        <v>4.1520000000000001</v>
      </c>
      <c r="B174" s="15">
        <v>8061.6216219999997</v>
      </c>
      <c r="C174" s="15">
        <v>955.32432429999994</v>
      </c>
      <c r="D174" s="15">
        <v>8.4523024519999996</v>
      </c>
      <c r="E174" s="39">
        <f t="shared" si="28"/>
        <v>255.26086249863954</v>
      </c>
      <c r="F174" s="39">
        <f t="shared" si="37"/>
        <v>0.14447301963819889</v>
      </c>
      <c r="G174" s="39">
        <f t="shared" si="38"/>
        <v>1.1602101463463624E-3</v>
      </c>
      <c r="I174" s="38"/>
    </row>
    <row r="175" spans="1:9" x14ac:dyDescent="0.2">
      <c r="A175" s="1">
        <v>4.1760000000000002</v>
      </c>
      <c r="B175" s="15">
        <v>7947.1891889999997</v>
      </c>
      <c r="C175" s="15">
        <v>940.94594589999997</v>
      </c>
      <c r="D175" s="15">
        <v>8.4735298120000007</v>
      </c>
      <c r="E175" s="39">
        <f t="shared" si="28"/>
        <v>254.91674538549111</v>
      </c>
      <c r="F175" s="39">
        <f t="shared" si="37"/>
        <v>0.14521353436560444</v>
      </c>
      <c r="G175" s="39">
        <f t="shared" si="38"/>
        <v>1.1673351661970004E-3</v>
      </c>
      <c r="I175" s="38"/>
    </row>
    <row r="176" spans="1:9" x14ac:dyDescent="0.2">
      <c r="A176" s="1">
        <v>4.2</v>
      </c>
      <c r="B176" s="15">
        <v>7840.0810810000003</v>
      </c>
      <c r="C176" s="15">
        <v>924.62162160000003</v>
      </c>
      <c r="D176" s="15">
        <v>8.4963236949999992</v>
      </c>
      <c r="E176" s="39">
        <f t="shared" si="28"/>
        <v>254.54921934957164</v>
      </c>
      <c r="F176" s="39">
        <f t="shared" si="37"/>
        <v>0.14621821126884516</v>
      </c>
      <c r="G176" s="39">
        <f t="shared" si="38"/>
        <v>1.1753057699414998E-3</v>
      </c>
      <c r="I176" s="38"/>
    </row>
    <row r="177" spans="1:9" x14ac:dyDescent="0.2">
      <c r="A177" s="1">
        <v>4.2240000000000002</v>
      </c>
      <c r="B177" s="15">
        <v>7728.9459459999998</v>
      </c>
      <c r="C177" s="15">
        <v>909.67567570000006</v>
      </c>
      <c r="D177" s="15">
        <v>8.5188458039999997</v>
      </c>
      <c r="E177" s="39">
        <f t="shared" si="28"/>
        <v>254.18807778973863</v>
      </c>
      <c r="F177" s="39">
        <f t="shared" si="37"/>
        <v>0.14707411205690635</v>
      </c>
      <c r="G177" s="39">
        <f t="shared" si="38"/>
        <v>1.1829351395992497E-3</v>
      </c>
      <c r="I177" s="38"/>
    </row>
    <row r="178" spans="1:9" x14ac:dyDescent="0.2">
      <c r="A178" s="1">
        <v>4.2480000000000002</v>
      </c>
      <c r="B178" s="15">
        <v>7620.1081080000004</v>
      </c>
      <c r="C178" s="15">
        <v>892.18918919999999</v>
      </c>
      <c r="D178" s="15">
        <v>8.5440832859999993</v>
      </c>
      <c r="E178" s="39">
        <f t="shared" si="28"/>
        <v>253.78573832293242</v>
      </c>
      <c r="F178" s="39">
        <f t="shared" si="37"/>
        <v>0.14824047719301806</v>
      </c>
      <c r="G178" s="39">
        <f t="shared" si="38"/>
        <v>1.1917854526409231E-3</v>
      </c>
      <c r="I178" s="38"/>
    </row>
    <row r="179" spans="1:9" x14ac:dyDescent="0.2">
      <c r="A179" s="1">
        <v>4.2720000000000002</v>
      </c>
      <c r="B179" s="15">
        <v>7510.7837840000002</v>
      </c>
      <c r="C179" s="15">
        <v>876.40540539999995</v>
      </c>
      <c r="D179" s="15">
        <v>8.5703887079999994</v>
      </c>
      <c r="E179" s="39">
        <f t="shared" si="28"/>
        <v>253.36898385353703</v>
      </c>
      <c r="F179" s="39">
        <f t="shared" si="37"/>
        <v>0.1492102386052975</v>
      </c>
      <c r="G179" s="39">
        <f t="shared" si="38"/>
        <v>1.1999751144564183E-3</v>
      </c>
      <c r="I179" s="38"/>
    </row>
    <row r="180" spans="1:9" x14ac:dyDescent="0.2">
      <c r="A180" s="1">
        <v>4.2960000000000003</v>
      </c>
      <c r="B180" s="15">
        <v>7406.4594589999997</v>
      </c>
      <c r="C180" s="15">
        <v>860</v>
      </c>
      <c r="D180" s="15">
        <v>8.5987502710000001</v>
      </c>
      <c r="E180" s="39">
        <f t="shared" si="28"/>
        <v>252.92260806098577</v>
      </c>
      <c r="F180" s="39">
        <f t="shared" si="37"/>
        <v>0.15028732519924359</v>
      </c>
      <c r="G180" s="39">
        <f t="shared" si="38"/>
        <v>1.2084774940987998E-3</v>
      </c>
      <c r="I180" s="38"/>
    </row>
    <row r="181" spans="1:9" x14ac:dyDescent="0.2">
      <c r="A181" s="1">
        <v>4.32</v>
      </c>
      <c r="B181" s="15">
        <v>7311.0512820000004</v>
      </c>
      <c r="C181" s="15">
        <v>846.12820509999995</v>
      </c>
      <c r="D181" s="15">
        <v>8.6286472879999998</v>
      </c>
      <c r="E181" s="39">
        <f t="shared" si="28"/>
        <v>252.45534834706302</v>
      </c>
      <c r="F181" s="39">
        <f t="shared" ref="F181:F190" si="39" xml:space="preserve"> E181^2*(1/SQRT(C181)-1/SQRT(B181))/(H$7*SQRT(11*39))</f>
        <v>0.14715851378848682</v>
      </c>
      <c r="G181" s="39">
        <f t="shared" ref="G181:G190" si="40" xml:space="preserve"> E181*(1/SQRT(C181)+1/SQRT(B181))/(H$7*SQRT(11*39))</f>
        <v>1.1840046188530292E-3</v>
      </c>
      <c r="I181" s="38"/>
    </row>
    <row r="182" spans="1:9" x14ac:dyDescent="0.2">
      <c r="A182" s="1">
        <v>4.3440000000000003</v>
      </c>
      <c r="B182" s="15">
        <v>7210.0769229999996</v>
      </c>
      <c r="C182" s="15">
        <v>833.74358970000003</v>
      </c>
      <c r="D182" s="15">
        <v>8.6587465770000005</v>
      </c>
      <c r="E182" s="39">
        <f t="shared" si="28"/>
        <v>251.98829167529456</v>
      </c>
      <c r="F182" s="39">
        <f t="shared" si="39"/>
        <v>0.14773130650330579</v>
      </c>
      <c r="G182" s="39">
        <f t="shared" si="40"/>
        <v>1.1904327262303308E-3</v>
      </c>
      <c r="I182" s="38"/>
    </row>
    <row r="183" spans="1:9" x14ac:dyDescent="0.2">
      <c r="A183" s="1">
        <v>4.3680000000000003</v>
      </c>
      <c r="B183" s="15">
        <v>7109.9487179999996</v>
      </c>
      <c r="C183" s="15">
        <v>818.02564099999995</v>
      </c>
      <c r="D183" s="15">
        <v>8.6884446999999998</v>
      </c>
      <c r="E183" s="39">
        <f t="shared" si="28"/>
        <v>251.53073050059228</v>
      </c>
      <c r="F183" s="39">
        <f t="shared" si="39"/>
        <v>0.148795712043296</v>
      </c>
      <c r="G183" s="39">
        <f t="shared" si="40"/>
        <v>1.1988654997110975E-3</v>
      </c>
      <c r="I183" s="38"/>
    </row>
    <row r="184" spans="1:9" x14ac:dyDescent="0.2">
      <c r="A184" s="1">
        <v>4.3920000000000003</v>
      </c>
      <c r="B184" s="15">
        <v>7014.5897439999999</v>
      </c>
      <c r="C184" s="15">
        <v>805.25641029999997</v>
      </c>
      <c r="D184" s="15">
        <v>8.7132960409999995</v>
      </c>
      <c r="E184" s="39">
        <f t="shared" si="28"/>
        <v>251.1503136900846</v>
      </c>
      <c r="F184" s="39">
        <f t="shared" si="39"/>
        <v>0.14960306552933902</v>
      </c>
      <c r="G184" s="39">
        <f t="shared" si="40"/>
        <v>1.2061654740313686E-3</v>
      </c>
      <c r="I184" s="38"/>
    </row>
    <row r="185" spans="1:9" x14ac:dyDescent="0.2">
      <c r="A185" s="1">
        <v>4.4160000000000004</v>
      </c>
      <c r="B185" s="15">
        <v>6918.3589739999998</v>
      </c>
      <c r="C185" s="15">
        <v>790.61538459999997</v>
      </c>
      <c r="D185" s="15">
        <v>8.7361517759999998</v>
      </c>
      <c r="E185" s="39">
        <f t="shared" si="28"/>
        <v>250.80241188766323</v>
      </c>
      <c r="F185" s="39">
        <f t="shared" si="39"/>
        <v>0.15073869503743895</v>
      </c>
      <c r="G185" s="39">
        <f t="shared" si="40"/>
        <v>1.2148993740962268E-3</v>
      </c>
      <c r="I185" s="38"/>
    </row>
    <row r="186" spans="1:9" x14ac:dyDescent="0.2">
      <c r="A186" s="1">
        <v>4.4400000000000004</v>
      </c>
      <c r="B186" s="15">
        <v>6822.5384620000004</v>
      </c>
      <c r="C186" s="15">
        <v>777.51282049999998</v>
      </c>
      <c r="D186" s="15">
        <v>8.7568543420000005</v>
      </c>
      <c r="E186" s="39">
        <f t="shared" si="28"/>
        <v>250.48889739933938</v>
      </c>
      <c r="F186" s="39">
        <f t="shared" si="39"/>
        <v>0.15173067650605046</v>
      </c>
      <c r="G186" s="39">
        <f t="shared" si="40"/>
        <v>1.2231348706560898E-3</v>
      </c>
      <c r="I186" s="38"/>
    </row>
    <row r="187" spans="1:9" x14ac:dyDescent="0.2">
      <c r="A187" s="1">
        <v>4.4640000000000004</v>
      </c>
      <c r="B187" s="15">
        <v>6735.1538460000002</v>
      </c>
      <c r="C187" s="15">
        <v>764.46153849999996</v>
      </c>
      <c r="D187" s="15">
        <v>8.7761868070000002</v>
      </c>
      <c r="E187" s="39">
        <f t="shared" si="28"/>
        <v>250.19750440630747</v>
      </c>
      <c r="F187" s="39">
        <f t="shared" si="39"/>
        <v>0.15282149969889514</v>
      </c>
      <c r="G187" s="39">
        <f t="shared" si="40"/>
        <v>1.2314696033020041E-3</v>
      </c>
      <c r="I187" s="38"/>
    </row>
    <row r="188" spans="1:9" x14ac:dyDescent="0.2">
      <c r="A188" s="1">
        <v>4.4880000000000004</v>
      </c>
      <c r="B188" s="15">
        <v>6643.3076920000003</v>
      </c>
      <c r="C188" s="15">
        <v>752.94871790000002</v>
      </c>
      <c r="D188" s="15">
        <v>8.7955657780000003</v>
      </c>
      <c r="E188" s="39">
        <f t="shared" si="28"/>
        <v>249.90673130398477</v>
      </c>
      <c r="F188" s="39">
        <f t="shared" si="39"/>
        <v>0.15368403573493261</v>
      </c>
      <c r="G188" s="39">
        <f t="shared" si="40"/>
        <v>1.239181170062697E-3</v>
      </c>
      <c r="I188" s="38"/>
    </row>
    <row r="189" spans="1:9" x14ac:dyDescent="0.2">
      <c r="A189" s="1">
        <v>4.5119999999999996</v>
      </c>
      <c r="B189" s="15">
        <v>6548.1025639999998</v>
      </c>
      <c r="C189" s="15">
        <v>742.8974359</v>
      </c>
      <c r="D189" s="15">
        <v>8.8135530279999994</v>
      </c>
      <c r="E189" s="39">
        <f t="shared" si="28"/>
        <v>249.63801534067684</v>
      </c>
      <c r="F189" s="39">
        <f t="shared" si="39"/>
        <v>0.15434863893282405</v>
      </c>
      <c r="G189" s="39">
        <f t="shared" si="40"/>
        <v>1.2463508091908005E-3</v>
      </c>
      <c r="I189" s="38"/>
    </row>
    <row r="190" spans="1:9" x14ac:dyDescent="0.2">
      <c r="A190" s="1">
        <v>4.5359999999999996</v>
      </c>
      <c r="B190" s="15">
        <v>6457.7179489999999</v>
      </c>
      <c r="C190" s="15">
        <v>732.05128209999998</v>
      </c>
      <c r="D190" s="15">
        <v>8.8301627299999996</v>
      </c>
      <c r="E190" s="39">
        <f t="shared" si="28"/>
        <v>249.39087667777963</v>
      </c>
      <c r="F190" s="39">
        <f t="shared" si="39"/>
        <v>0.1552119875112849</v>
      </c>
      <c r="G190" s="39">
        <f t="shared" si="40"/>
        <v>1.2541792498157428E-3</v>
      </c>
      <c r="I190" s="38"/>
    </row>
    <row r="191" spans="1:9" x14ac:dyDescent="0.2">
      <c r="A191" s="1">
        <v>4.5599999999999996</v>
      </c>
      <c r="B191" s="15">
        <v>6373.5609759999998</v>
      </c>
      <c r="C191" s="15">
        <v>721</v>
      </c>
      <c r="D191" s="15">
        <v>8.8443822740000009</v>
      </c>
      <c r="E191" s="39">
        <f t="shared" si="28"/>
        <v>249.18005811007407</v>
      </c>
      <c r="F191" s="39">
        <f t="shared" ref="F191:F200" si="41" xml:space="preserve"> E191^2*(1/SQRT(C191)-1/SQRT(B191))/(H$7*SQRT(11*41))</f>
        <v>0.15235783608656875</v>
      </c>
      <c r="G191" s="39">
        <f t="shared" ref="G191:G200" si="42" xml:space="preserve"> E191*(1/SQRT(C191)+1/SQRT(B191))/(H$7*SQRT(11*41))</f>
        <v>1.2311794326547321E-3</v>
      </c>
      <c r="I191" s="38"/>
    </row>
    <row r="192" spans="1:9" x14ac:dyDescent="0.2">
      <c r="A192" s="1">
        <v>4.5839999999999996</v>
      </c>
      <c r="B192" s="15">
        <v>6287.5365849999998</v>
      </c>
      <c r="C192" s="15">
        <v>710.19512199999997</v>
      </c>
      <c r="D192" s="15">
        <v>8.8574968179999995</v>
      </c>
      <c r="E192" s="39">
        <f t="shared" si="28"/>
        <v>248.98623747050456</v>
      </c>
      <c r="F192" s="39">
        <f t="shared" si="41"/>
        <v>0.15333236283154525</v>
      </c>
      <c r="G192" s="39">
        <f t="shared" si="42"/>
        <v>1.2393092081486676E-3</v>
      </c>
      <c r="I192" s="38"/>
    </row>
    <row r="193" spans="1:9" x14ac:dyDescent="0.2">
      <c r="A193" s="1">
        <v>4.6079999999999997</v>
      </c>
      <c r="B193" s="15">
        <v>6197.7317069999999</v>
      </c>
      <c r="C193" s="15">
        <v>699.43902439999999</v>
      </c>
      <c r="D193" s="15">
        <v>8.8708917039999999</v>
      </c>
      <c r="E193" s="39">
        <f t="shared" si="28"/>
        <v>248.78887996638474</v>
      </c>
      <c r="F193" s="39">
        <f t="shared" si="41"/>
        <v>0.15429617267468276</v>
      </c>
      <c r="G193" s="39">
        <f t="shared" si="42"/>
        <v>1.2476748388473026E-3</v>
      </c>
      <c r="I193" s="38"/>
    </row>
    <row r="194" spans="1:9" x14ac:dyDescent="0.2">
      <c r="A194" s="1">
        <v>4.6319999999999997</v>
      </c>
      <c r="B194" s="15">
        <v>6115.5121950000002</v>
      </c>
      <c r="C194" s="15">
        <v>687.95121949999998</v>
      </c>
      <c r="D194" s="15">
        <v>8.8858253499999993</v>
      </c>
      <c r="E194" s="39">
        <f t="shared" si="28"/>
        <v>248.56956932845642</v>
      </c>
      <c r="F194" s="39">
        <f t="shared" si="41"/>
        <v>0.15543076729668379</v>
      </c>
      <c r="G194" s="39">
        <f t="shared" si="42"/>
        <v>1.2564336859225609E-3</v>
      </c>
      <c r="I194" s="38"/>
    </row>
    <row r="195" spans="1:9" x14ac:dyDescent="0.2">
      <c r="A195" s="1">
        <v>4.6559999999999997</v>
      </c>
      <c r="B195" s="15">
        <v>6026.4634150000002</v>
      </c>
      <c r="C195" s="15">
        <v>677.60975610000003</v>
      </c>
      <c r="D195" s="15">
        <v>8.9036607780000008</v>
      </c>
      <c r="E195" s="39">
        <f t="shared" ref="E195:E258" si="43" xml:space="preserve"> H$7/(LN(D195)-H$4)</f>
        <v>248.30863119769745</v>
      </c>
      <c r="F195" s="39">
        <f t="shared" si="41"/>
        <v>0.15630256163385506</v>
      </c>
      <c r="G195" s="39">
        <f t="shared" si="42"/>
        <v>1.2645801093160928E-3</v>
      </c>
      <c r="I195" s="38"/>
    </row>
    <row r="196" spans="1:9" x14ac:dyDescent="0.2">
      <c r="A196" s="1">
        <v>4.68</v>
      </c>
      <c r="B196" s="15">
        <v>5945.9756100000004</v>
      </c>
      <c r="C196" s="15">
        <v>667.56097560000001</v>
      </c>
      <c r="D196" s="15">
        <v>8.9206779110000003</v>
      </c>
      <c r="E196" s="39">
        <f t="shared" si="43"/>
        <v>248.06066053414079</v>
      </c>
      <c r="F196" s="39">
        <f t="shared" si="41"/>
        <v>0.15721946007052762</v>
      </c>
      <c r="G196" s="39">
        <f t="shared" si="42"/>
        <v>1.2725512394887249E-3</v>
      </c>
      <c r="I196" s="38"/>
    </row>
    <row r="197" spans="1:9" x14ac:dyDescent="0.2">
      <c r="A197" s="1">
        <v>4.7039999999999997</v>
      </c>
      <c r="B197" s="15">
        <v>5863.5365849999998</v>
      </c>
      <c r="C197" s="15">
        <v>657.41463409999994</v>
      </c>
      <c r="D197" s="15">
        <v>8.9368625989999995</v>
      </c>
      <c r="E197" s="39">
        <f t="shared" si="43"/>
        <v>247.82571642190595</v>
      </c>
      <c r="F197" s="39">
        <f t="shared" si="41"/>
        <v>0.15818202620336377</v>
      </c>
      <c r="G197" s="39">
        <f t="shared" si="42"/>
        <v>1.2809015772381688E-3</v>
      </c>
      <c r="I197" s="38"/>
    </row>
    <row r="198" spans="1:9" x14ac:dyDescent="0.2">
      <c r="A198" s="1">
        <v>4.7279999999999998</v>
      </c>
      <c r="B198" s="15">
        <v>5785.5609759999998</v>
      </c>
      <c r="C198" s="15">
        <v>645.87804879999999</v>
      </c>
      <c r="D198" s="15">
        <v>8.9562542349999994</v>
      </c>
      <c r="E198" s="39">
        <f t="shared" si="43"/>
        <v>247.54536208402615</v>
      </c>
      <c r="F198" s="39">
        <f t="shared" si="41"/>
        <v>0.15940043307545601</v>
      </c>
      <c r="G198" s="39">
        <f t="shared" si="42"/>
        <v>1.2901305699933175E-3</v>
      </c>
      <c r="I198" s="38"/>
    </row>
    <row r="199" spans="1:9" x14ac:dyDescent="0.2">
      <c r="A199" s="1">
        <v>4.7519999999999998</v>
      </c>
      <c r="B199" s="15">
        <v>5706.9512199999999</v>
      </c>
      <c r="C199" s="15">
        <v>635</v>
      </c>
      <c r="D199" s="15">
        <v>8.9764438690000006</v>
      </c>
      <c r="E199" s="39">
        <f t="shared" si="43"/>
        <v>247.25478592003984</v>
      </c>
      <c r="F199" s="39">
        <f t="shared" si="41"/>
        <v>0.16051566365677733</v>
      </c>
      <c r="G199" s="39">
        <f t="shared" si="42"/>
        <v>1.2990693514612767E-3</v>
      </c>
      <c r="I199" s="38"/>
    </row>
    <row r="200" spans="1:9" x14ac:dyDescent="0.2">
      <c r="A200" s="1">
        <v>4.7759999999999998</v>
      </c>
      <c r="B200" s="15">
        <v>5628.0243899999996</v>
      </c>
      <c r="C200" s="15">
        <v>624.60975610000003</v>
      </c>
      <c r="D200" s="15">
        <v>8.9935636530000007</v>
      </c>
      <c r="E200" s="39">
        <f t="shared" si="43"/>
        <v>247.00943601326165</v>
      </c>
      <c r="F200" s="39">
        <f t="shared" si="41"/>
        <v>0.16162807240233554</v>
      </c>
      <c r="G200" s="39">
        <f t="shared" si="42"/>
        <v>1.3081093565489533E-3</v>
      </c>
      <c r="I200" s="38"/>
    </row>
    <row r="201" spans="1:9" x14ac:dyDescent="0.2">
      <c r="A201" s="1">
        <v>4.8</v>
      </c>
      <c r="B201" s="15">
        <v>5561.0232560000004</v>
      </c>
      <c r="C201" s="15">
        <v>617.30232560000002</v>
      </c>
      <c r="D201" s="15">
        <v>9.0106711480000001</v>
      </c>
      <c r="E201" s="39">
        <f t="shared" si="43"/>
        <v>246.76521284688917</v>
      </c>
      <c r="F201" s="39">
        <f t="shared" ref="F201:F210" si="44" xml:space="preserve"> E201^2*(1/SQRT(C201)-1/SQRT(B201))/(H$7*SQRT(11*43))</f>
        <v>0.15843390212644398</v>
      </c>
      <c r="G201" s="39">
        <f t="shared" ref="G201:G210" si="45" xml:space="preserve"> E201*(1/SQRT(C201)+1/SQRT(B201))/(H$7*SQRT(11*43))</f>
        <v>1.2836270676075826E-3</v>
      </c>
      <c r="I201" s="38"/>
    </row>
    <row r="202" spans="1:9" x14ac:dyDescent="0.2">
      <c r="A202" s="1">
        <v>4.8239999999999998</v>
      </c>
      <c r="B202" s="15">
        <v>5488.1395350000003</v>
      </c>
      <c r="C202" s="15">
        <v>608.58139530000005</v>
      </c>
      <c r="D202" s="15">
        <v>9.0271128810000008</v>
      </c>
      <c r="E202" s="39">
        <f t="shared" si="43"/>
        <v>246.53138395483302</v>
      </c>
      <c r="F202" s="39">
        <f t="shared" si="44"/>
        <v>0.15930396658955351</v>
      </c>
      <c r="G202" s="39">
        <f t="shared" si="45"/>
        <v>1.2913994185149151E-3</v>
      </c>
      <c r="I202" s="38"/>
    </row>
    <row r="203" spans="1:9" x14ac:dyDescent="0.2">
      <c r="A203" s="1">
        <v>4.8479999999999999</v>
      </c>
      <c r="B203" s="15">
        <v>5416.9534880000001</v>
      </c>
      <c r="C203" s="15">
        <v>597.46511629999998</v>
      </c>
      <c r="D203" s="15">
        <v>9.044217669</v>
      </c>
      <c r="E203" s="39">
        <f t="shared" si="43"/>
        <v>246.28904540871281</v>
      </c>
      <c r="F203" s="39">
        <f t="shared" si="44"/>
        <v>0.16067835913272005</v>
      </c>
      <c r="G203" s="39">
        <f t="shared" si="45"/>
        <v>1.3012029202898981E-3</v>
      </c>
      <c r="I203" s="38"/>
    </row>
    <row r="204" spans="1:9" x14ac:dyDescent="0.2">
      <c r="A204" s="1">
        <v>4.8719999999999999</v>
      </c>
      <c r="B204" s="15">
        <v>5343.8139529999999</v>
      </c>
      <c r="C204" s="15">
        <v>588.32558140000003</v>
      </c>
      <c r="D204" s="15">
        <v>9.0594113289999996</v>
      </c>
      <c r="E204" s="39">
        <f t="shared" si="43"/>
        <v>246.07456571506899</v>
      </c>
      <c r="F204" s="39">
        <f t="shared" si="44"/>
        <v>0.16171287575271584</v>
      </c>
      <c r="G204" s="39">
        <f t="shared" si="45"/>
        <v>1.3098317028752773E-3</v>
      </c>
      <c r="I204" s="38"/>
    </row>
    <row r="205" spans="1:9" x14ac:dyDescent="0.2">
      <c r="A205" s="1">
        <v>4.8959999999999999</v>
      </c>
      <c r="B205" s="15">
        <v>5268.697674</v>
      </c>
      <c r="C205" s="15">
        <v>580.39534879999997</v>
      </c>
      <c r="D205" s="15">
        <v>9.0733931410000004</v>
      </c>
      <c r="E205" s="39">
        <f t="shared" si="43"/>
        <v>245.87783952789226</v>
      </c>
      <c r="F205" s="39">
        <f t="shared" si="44"/>
        <v>0.1625300574906155</v>
      </c>
      <c r="G205" s="39">
        <f t="shared" si="45"/>
        <v>1.3177916088061173E-3</v>
      </c>
      <c r="I205" s="38"/>
    </row>
    <row r="206" spans="1:9" x14ac:dyDescent="0.2">
      <c r="A206" s="1">
        <v>4.92</v>
      </c>
      <c r="B206" s="15">
        <v>5196.9534880000001</v>
      </c>
      <c r="C206" s="15">
        <v>572.23255810000001</v>
      </c>
      <c r="D206" s="15">
        <v>9.0850890030000002</v>
      </c>
      <c r="E206" s="39">
        <f t="shared" si="43"/>
        <v>245.71375066895476</v>
      </c>
      <c r="F206" s="39">
        <f t="shared" si="44"/>
        <v>0.16348519033072975</v>
      </c>
      <c r="G206" s="39">
        <f t="shared" si="45"/>
        <v>1.3261967456803313E-3</v>
      </c>
      <c r="I206" s="38"/>
    </row>
    <row r="207" spans="1:9" x14ac:dyDescent="0.2">
      <c r="A207" s="1">
        <v>4.944</v>
      </c>
      <c r="B207" s="15">
        <v>5127.6744189999999</v>
      </c>
      <c r="C207" s="15">
        <v>564.23255810000001</v>
      </c>
      <c r="D207" s="15">
        <v>9.0996294609999993</v>
      </c>
      <c r="E207" s="39">
        <f t="shared" si="43"/>
        <v>245.51035188115415</v>
      </c>
      <c r="F207" s="39">
        <f t="shared" si="44"/>
        <v>0.16439451762424434</v>
      </c>
      <c r="G207" s="39">
        <f t="shared" si="45"/>
        <v>1.3343503922208992E-3</v>
      </c>
      <c r="I207" s="38"/>
    </row>
    <row r="208" spans="1:9" x14ac:dyDescent="0.2">
      <c r="A208" s="1">
        <v>4.968</v>
      </c>
      <c r="B208" s="15">
        <v>5060.0232560000004</v>
      </c>
      <c r="C208" s="15">
        <v>555.60465120000003</v>
      </c>
      <c r="D208" s="15">
        <v>9.1147640140000004</v>
      </c>
      <c r="E208" s="39">
        <f t="shared" si="43"/>
        <v>245.29934400165916</v>
      </c>
      <c r="F208" s="39">
        <f t="shared" si="44"/>
        <v>0.16546869742889764</v>
      </c>
      <c r="G208" s="39">
        <f t="shared" si="45"/>
        <v>1.3431593032299024E-3</v>
      </c>
      <c r="I208" s="38"/>
    </row>
    <row r="209" spans="1:9" x14ac:dyDescent="0.2">
      <c r="A209" s="1">
        <v>4.992</v>
      </c>
      <c r="B209" s="15">
        <v>4990.6279070000001</v>
      </c>
      <c r="C209" s="15">
        <v>546.93023259999995</v>
      </c>
      <c r="D209" s="15">
        <v>9.1256345210000003</v>
      </c>
      <c r="E209" s="39">
        <f t="shared" si="43"/>
        <v>245.14822531795846</v>
      </c>
      <c r="F209" s="39">
        <f t="shared" si="44"/>
        <v>0.16664976734903628</v>
      </c>
      <c r="G209" s="39">
        <f t="shared" si="45"/>
        <v>1.3526105997537371E-3</v>
      </c>
      <c r="I209" s="38"/>
    </row>
    <row r="210" spans="1:9" x14ac:dyDescent="0.2">
      <c r="A210" s="1">
        <v>5.016</v>
      </c>
      <c r="B210" s="15">
        <v>4925.7906979999998</v>
      </c>
      <c r="C210" s="15">
        <v>538.86046510000006</v>
      </c>
      <c r="D210" s="15">
        <v>9.1360033119999997</v>
      </c>
      <c r="E210" s="39">
        <f t="shared" si="43"/>
        <v>245.00442209766214</v>
      </c>
      <c r="F210" s="39">
        <f t="shared" si="44"/>
        <v>0.16777020252814173</v>
      </c>
      <c r="G210" s="39">
        <f t="shared" si="45"/>
        <v>1.3615990711097522E-3</v>
      </c>
      <c r="I210" s="38"/>
    </row>
    <row r="211" spans="1:9" x14ac:dyDescent="0.2">
      <c r="A211" s="1">
        <v>5.04</v>
      </c>
      <c r="B211" s="15">
        <v>4867.0888889999997</v>
      </c>
      <c r="C211" s="15">
        <v>532.55555560000005</v>
      </c>
      <c r="D211" s="15">
        <v>9.1467377170000006</v>
      </c>
      <c r="E211" s="39">
        <f t="shared" si="43"/>
        <v>244.85589739080851</v>
      </c>
      <c r="F211" s="39">
        <f t="shared" ref="F211:F220" si="46" xml:space="preserve"> E211^2*(1/SQRT(C211)-1/SQRT(B211))/(H$7*SQRT(11*45))</f>
        <v>0.16475865842804752</v>
      </c>
      <c r="G211" s="39">
        <f t="shared" ref="G211:G220" si="47" xml:space="preserve"> E211*(1/SQRT(C211)+1/SQRT(B211))/(H$7*SQRT(11*45))</f>
        <v>1.3380779198377908E-3</v>
      </c>
      <c r="I211" s="38"/>
    </row>
    <row r="212" spans="1:9" x14ac:dyDescent="0.2">
      <c r="A212" s="1">
        <v>5.0640000000000001</v>
      </c>
      <c r="B212" s="15">
        <v>4799.4222220000001</v>
      </c>
      <c r="C212" s="15">
        <v>523.46666670000002</v>
      </c>
      <c r="D212" s="15">
        <v>9.1565884610000001</v>
      </c>
      <c r="E212" s="39">
        <f t="shared" si="43"/>
        <v>244.71991069459364</v>
      </c>
      <c r="F212" s="39">
        <f t="shared" si="46"/>
        <v>0.16613003623748235</v>
      </c>
      <c r="G212" s="39">
        <f t="shared" si="47"/>
        <v>1.3483565380636615E-3</v>
      </c>
      <c r="I212" s="38"/>
    </row>
    <row r="213" spans="1:9" x14ac:dyDescent="0.2">
      <c r="A213" s="1">
        <v>5.0880000000000001</v>
      </c>
      <c r="B213" s="15">
        <v>4739.3555560000004</v>
      </c>
      <c r="C213" s="15">
        <v>516.02222219999999</v>
      </c>
      <c r="D213" s="15">
        <v>9.166593078</v>
      </c>
      <c r="E213" s="39">
        <f t="shared" si="43"/>
        <v>244.58210375085378</v>
      </c>
      <c r="F213" s="39">
        <f t="shared" si="46"/>
        <v>0.16720692007790167</v>
      </c>
      <c r="G213" s="39">
        <f t="shared" si="47"/>
        <v>1.3569918566466511E-3</v>
      </c>
      <c r="I213" s="38"/>
    </row>
    <row r="214" spans="1:9" x14ac:dyDescent="0.2">
      <c r="A214" s="1">
        <v>5.1120000000000001</v>
      </c>
      <c r="B214" s="15">
        <v>4676.3555560000004</v>
      </c>
      <c r="C214" s="15">
        <v>509.06666669999998</v>
      </c>
      <c r="D214" s="15">
        <v>9.1746930560000006</v>
      </c>
      <c r="E214" s="39">
        <f t="shared" si="43"/>
        <v>244.47075555989545</v>
      </c>
      <c r="F214" s="39">
        <f t="shared" si="46"/>
        <v>0.16819991830445238</v>
      </c>
      <c r="G214" s="39">
        <f t="shared" si="47"/>
        <v>1.3655769669903663E-3</v>
      </c>
      <c r="I214" s="38"/>
    </row>
    <row r="215" spans="1:9" x14ac:dyDescent="0.2">
      <c r="A215" s="1">
        <v>5.1360000000000001</v>
      </c>
      <c r="B215" s="15">
        <v>4612.2666669999999</v>
      </c>
      <c r="C215" s="15">
        <v>501.48888890000001</v>
      </c>
      <c r="D215" s="15">
        <v>9.1807542590000004</v>
      </c>
      <c r="E215" s="39">
        <f t="shared" si="43"/>
        <v>244.387564360867</v>
      </c>
      <c r="F215" s="39">
        <f t="shared" si="46"/>
        <v>0.16940056471496576</v>
      </c>
      <c r="G215" s="39">
        <f t="shared" si="47"/>
        <v>1.3751831039056531E-3</v>
      </c>
      <c r="I215" s="38"/>
    </row>
    <row r="216" spans="1:9" x14ac:dyDescent="0.2">
      <c r="A216" s="1">
        <v>5.16</v>
      </c>
      <c r="B216" s="15">
        <v>4552.3555560000004</v>
      </c>
      <c r="C216" s="15">
        <v>495.04444439999997</v>
      </c>
      <c r="D216" s="15">
        <v>9.1863582869999991</v>
      </c>
      <c r="E216" s="39">
        <f t="shared" si="43"/>
        <v>244.31074714000147</v>
      </c>
      <c r="F216" s="39">
        <f t="shared" si="46"/>
        <v>0.17038655441342226</v>
      </c>
      <c r="G216" s="39">
        <f t="shared" si="47"/>
        <v>1.3836942481749053E-3</v>
      </c>
      <c r="I216" s="38"/>
    </row>
    <row r="217" spans="1:9" x14ac:dyDescent="0.2">
      <c r="A217" s="1">
        <v>5.1840000000000002</v>
      </c>
      <c r="B217" s="15">
        <v>4490.3555560000004</v>
      </c>
      <c r="C217" s="15">
        <v>488.6</v>
      </c>
      <c r="D217" s="15">
        <v>9.1921867959999997</v>
      </c>
      <c r="E217" s="39">
        <f t="shared" si="43"/>
        <v>244.23095371103736</v>
      </c>
      <c r="F217" s="39">
        <f t="shared" si="46"/>
        <v>0.17136882354449653</v>
      </c>
      <c r="G217" s="39">
        <f t="shared" si="47"/>
        <v>1.3924399024821418E-3</v>
      </c>
      <c r="I217" s="38"/>
    </row>
    <row r="218" spans="1:9" x14ac:dyDescent="0.2">
      <c r="A218" s="1">
        <v>5.2080000000000002</v>
      </c>
      <c r="B218" s="15">
        <v>4432.377778</v>
      </c>
      <c r="C218" s="15">
        <v>481.88888889999998</v>
      </c>
      <c r="D218" s="15">
        <v>9.1956906230000008</v>
      </c>
      <c r="E218" s="39">
        <f t="shared" si="43"/>
        <v>244.18303504206085</v>
      </c>
      <c r="F218" s="39">
        <f t="shared" si="46"/>
        <v>0.17252572702528707</v>
      </c>
      <c r="G218" s="39">
        <f t="shared" si="47"/>
        <v>1.401682190616726E-3</v>
      </c>
      <c r="I218" s="38"/>
    </row>
    <row r="219" spans="1:9" x14ac:dyDescent="0.2">
      <c r="A219" s="1">
        <v>5.2320000000000002</v>
      </c>
      <c r="B219" s="15">
        <v>4373.7777779999997</v>
      </c>
      <c r="C219" s="15">
        <v>475.6</v>
      </c>
      <c r="D219" s="15">
        <v>9.1968747400000002</v>
      </c>
      <c r="E219" s="39">
        <f t="shared" si="43"/>
        <v>244.16684932335227</v>
      </c>
      <c r="F219" s="39">
        <f t="shared" si="46"/>
        <v>0.17363224373562688</v>
      </c>
      <c r="G219" s="39">
        <f t="shared" si="47"/>
        <v>1.410855703187087E-3</v>
      </c>
      <c r="I219" s="38"/>
    </row>
    <row r="220" spans="1:9" x14ac:dyDescent="0.2">
      <c r="A220" s="1">
        <v>5.2560000000000002</v>
      </c>
      <c r="B220" s="15">
        <v>4320.3999999999996</v>
      </c>
      <c r="C220" s="15">
        <v>470.04444439999997</v>
      </c>
      <c r="D220" s="15">
        <v>9.1977066490000006</v>
      </c>
      <c r="E220" s="39">
        <f t="shared" si="43"/>
        <v>244.15548047211573</v>
      </c>
      <c r="F220" s="39">
        <f t="shared" si="46"/>
        <v>0.17461632536034666</v>
      </c>
      <c r="G220" s="39">
        <f t="shared" si="47"/>
        <v>1.419195865621311E-3</v>
      </c>
      <c r="I220" s="38"/>
    </row>
    <row r="221" spans="1:9" x14ac:dyDescent="0.2">
      <c r="A221" s="1">
        <v>5.28</v>
      </c>
      <c r="B221" s="15">
        <v>4271.0638300000001</v>
      </c>
      <c r="C221" s="15">
        <v>464.10638299999999</v>
      </c>
      <c r="D221" s="15">
        <v>9.1974315030000007</v>
      </c>
      <c r="E221" s="39">
        <f t="shared" si="43"/>
        <v>244.15924038069392</v>
      </c>
      <c r="F221" s="39">
        <f t="shared" ref="F221:F230" si="48" xml:space="preserve"> E221^2*(1/SQRT(C221)-1/SQRT(B221))/(H$7*SQRT(11*47))</f>
        <v>0.17200753317958939</v>
      </c>
      <c r="G221" s="39">
        <f t="shared" ref="G221:G230" si="49" xml:space="preserve"> E221*(1/SQRT(C221)+1/SQRT(B221))/(H$7*SQRT(11*47))</f>
        <v>1.3973361635070559E-3</v>
      </c>
      <c r="I221" s="38"/>
    </row>
    <row r="222" spans="1:9" x14ac:dyDescent="0.2">
      <c r="A222" s="1">
        <v>5.3040000000000003</v>
      </c>
      <c r="B222" s="15">
        <v>4215.2765959999997</v>
      </c>
      <c r="C222" s="15">
        <v>458.02127660000002</v>
      </c>
      <c r="D222" s="15">
        <v>9.1972878829999996</v>
      </c>
      <c r="E222" s="39">
        <f t="shared" si="43"/>
        <v>244.16120305876393</v>
      </c>
      <c r="F222" s="39">
        <f t="shared" si="48"/>
        <v>0.17315130908783191</v>
      </c>
      <c r="G222" s="39">
        <f t="shared" si="49"/>
        <v>1.4065903030343969E-3</v>
      </c>
      <c r="I222" s="38"/>
    </row>
    <row r="223" spans="1:9" x14ac:dyDescent="0.2">
      <c r="A223" s="1">
        <v>5.3280000000000003</v>
      </c>
      <c r="B223" s="15">
        <v>4163.3617020000002</v>
      </c>
      <c r="C223" s="15">
        <v>452.19148940000002</v>
      </c>
      <c r="D223" s="15">
        <v>9.1980192689999996</v>
      </c>
      <c r="E223" s="39">
        <f t="shared" si="43"/>
        <v>244.15120875310399</v>
      </c>
      <c r="F223" s="39">
        <f t="shared" si="48"/>
        <v>0.17426751346262079</v>
      </c>
      <c r="G223" s="39">
        <f t="shared" si="49"/>
        <v>1.415497152956136E-3</v>
      </c>
      <c r="I223" s="38"/>
    </row>
    <row r="224" spans="1:9" x14ac:dyDescent="0.2">
      <c r="A224" s="1">
        <v>5.3520000000000003</v>
      </c>
      <c r="B224" s="15">
        <v>4107.5319149999996</v>
      </c>
      <c r="C224" s="15">
        <v>446.59574470000001</v>
      </c>
      <c r="D224" s="15">
        <v>9.2012352899999996</v>
      </c>
      <c r="E224" s="39">
        <f t="shared" si="43"/>
        <v>244.1072813268631</v>
      </c>
      <c r="F224" s="39">
        <f t="shared" si="48"/>
        <v>0.17524759844290219</v>
      </c>
      <c r="G224" s="39">
        <f t="shared" si="49"/>
        <v>1.4242663320145088E-3</v>
      </c>
      <c r="I224" s="38"/>
    </row>
    <row r="225" spans="1:17" x14ac:dyDescent="0.2">
      <c r="A225" s="1">
        <v>5.3760000000000003</v>
      </c>
      <c r="B225" s="15">
        <v>4051.4042549999999</v>
      </c>
      <c r="C225" s="15">
        <v>440.59574470000001</v>
      </c>
      <c r="D225" s="15">
        <v>9.2076455559999992</v>
      </c>
      <c r="E225" s="39">
        <f t="shared" si="43"/>
        <v>244.01981678895257</v>
      </c>
      <c r="F225" s="39">
        <f t="shared" si="48"/>
        <v>0.17630030983468395</v>
      </c>
      <c r="G225" s="39">
        <f t="shared" si="49"/>
        <v>1.4334589009376425E-3</v>
      </c>
      <c r="I225" s="38"/>
    </row>
    <row r="226" spans="1:17" x14ac:dyDescent="0.2">
      <c r="A226" s="1">
        <v>5.4</v>
      </c>
      <c r="B226" s="15">
        <v>3998.6595739999998</v>
      </c>
      <c r="C226" s="15">
        <v>434.91489360000003</v>
      </c>
      <c r="D226" s="15">
        <v>9.2172426860000005</v>
      </c>
      <c r="E226" s="39">
        <f t="shared" si="43"/>
        <v>243.88909995044193</v>
      </c>
      <c r="F226" s="39">
        <f t="shared" si="48"/>
        <v>0.17725239401342868</v>
      </c>
      <c r="G226" s="39">
        <f t="shared" si="49"/>
        <v>1.4420402584841069E-3</v>
      </c>
      <c r="I226" s="38"/>
    </row>
    <row r="227" spans="1:17" x14ac:dyDescent="0.2">
      <c r="A227" s="1">
        <v>5.4240000000000004</v>
      </c>
      <c r="B227" s="15">
        <v>3948.2553189999999</v>
      </c>
      <c r="C227" s="15">
        <v>429.42553190000001</v>
      </c>
      <c r="D227" s="15">
        <v>9.2236998129999996</v>
      </c>
      <c r="E227" s="39">
        <f t="shared" si="43"/>
        <v>243.80130649449632</v>
      </c>
      <c r="F227" s="39">
        <f t="shared" si="48"/>
        <v>0.17825403484539043</v>
      </c>
      <c r="G227" s="39">
        <f t="shared" si="49"/>
        <v>1.4507024250041511E-3</v>
      </c>
      <c r="I227" s="38"/>
    </row>
    <row r="228" spans="1:17" x14ac:dyDescent="0.2">
      <c r="A228" s="1">
        <v>5.4480000000000004</v>
      </c>
      <c r="B228" s="15">
        <v>3900.468085</v>
      </c>
      <c r="C228" s="15">
        <v>424.04255319999999</v>
      </c>
      <c r="D228" s="15">
        <v>9.2336785139999993</v>
      </c>
      <c r="E228" s="39">
        <f t="shared" si="43"/>
        <v>243.66587730636704</v>
      </c>
      <c r="F228" s="39">
        <f t="shared" si="48"/>
        <v>0.17920192618168046</v>
      </c>
      <c r="G228" s="39">
        <f t="shared" si="49"/>
        <v>1.4589912452882855E-3</v>
      </c>
      <c r="I228" s="38"/>
    </row>
    <row r="229" spans="1:17" x14ac:dyDescent="0.2">
      <c r="A229" s="1">
        <v>5.4720000000000004</v>
      </c>
      <c r="B229" s="15">
        <v>3855.7872339999999</v>
      </c>
      <c r="C229" s="15">
        <v>417.59574470000001</v>
      </c>
      <c r="D229" s="15">
        <v>9.2454592659999992</v>
      </c>
      <c r="E229" s="39">
        <f t="shared" si="43"/>
        <v>243.50637245070772</v>
      </c>
      <c r="F229" s="39">
        <f t="shared" si="48"/>
        <v>0.18051187504743113</v>
      </c>
      <c r="G229" s="39">
        <f t="shared" si="49"/>
        <v>1.4685563070907352E-3</v>
      </c>
      <c r="I229" s="38"/>
    </row>
    <row r="230" spans="1:17" x14ac:dyDescent="0.2">
      <c r="A230" s="1">
        <v>5.4960000000000004</v>
      </c>
      <c r="B230" s="15">
        <v>3805.914894</v>
      </c>
      <c r="C230" s="15">
        <v>410.70212770000001</v>
      </c>
      <c r="D230" s="15">
        <v>9.2587964580000008</v>
      </c>
      <c r="E230" s="39">
        <f t="shared" si="43"/>
        <v>243.32629069477318</v>
      </c>
      <c r="F230" s="39">
        <f t="shared" si="48"/>
        <v>0.18191291765246315</v>
      </c>
      <c r="G230" s="39">
        <f t="shared" si="49"/>
        <v>1.4790708894594573E-3</v>
      </c>
      <c r="I230" s="38"/>
    </row>
    <row r="231" spans="1:17" s="17" customFormat="1" x14ac:dyDescent="0.2">
      <c r="A231" s="20">
        <v>5.52</v>
      </c>
      <c r="B231" s="21">
        <v>3762.2653059999998</v>
      </c>
      <c r="C231" s="21">
        <v>404.67346939999999</v>
      </c>
      <c r="D231" s="21">
        <v>9.2724284479999994</v>
      </c>
      <c r="E231" s="45">
        <f t="shared" si="43"/>
        <v>243.14277082148624</v>
      </c>
      <c r="F231" s="45">
        <f t="shared" ref="F231:F240" si="50" xml:space="preserve"> E231^2*(1/SQRT(C231)-1/SQRT(B231))/(H$7*SQRT(11*49))</f>
        <v>0.17935574249492486</v>
      </c>
      <c r="G231" s="45">
        <f t="shared" ref="G231:G240" si="51" xml:space="preserve"> E231*(1/SQRT(C231)+1/SQRT(B231))/(H$7*SQRT(11*49))</f>
        <v>1.4576349676282362E-3</v>
      </c>
      <c r="H231" s="46"/>
      <c r="I231" s="36"/>
      <c r="J231" s="37"/>
      <c r="K231" s="25"/>
      <c r="L231" s="25"/>
      <c r="M231" s="22"/>
      <c r="N231" s="22"/>
      <c r="P231" s="21"/>
      <c r="Q231" s="18"/>
    </row>
    <row r="232" spans="1:17" x14ac:dyDescent="0.2">
      <c r="A232" s="1">
        <v>5.5439999999999996</v>
      </c>
      <c r="B232" s="15">
        <v>3714.061224</v>
      </c>
      <c r="C232" s="15">
        <v>400.48979589999999</v>
      </c>
      <c r="D232" s="15">
        <v>9.2880515460000002</v>
      </c>
      <c r="E232" s="39">
        <f t="shared" si="43"/>
        <v>242.93311658977237</v>
      </c>
      <c r="F232" s="39">
        <f t="shared" si="50"/>
        <v>0.17986933977485392</v>
      </c>
      <c r="G232" s="39">
        <f t="shared" si="51"/>
        <v>1.4644180651910259E-3</v>
      </c>
      <c r="I232" s="38"/>
    </row>
    <row r="233" spans="1:17" x14ac:dyDescent="0.2">
      <c r="A233" s="1">
        <v>5.5679999999999996</v>
      </c>
      <c r="B233" s="15">
        <v>3667.0408160000002</v>
      </c>
      <c r="C233" s="15">
        <v>393.75510200000002</v>
      </c>
      <c r="D233" s="15">
        <v>9.3049343600000007</v>
      </c>
      <c r="E233" s="39">
        <f t="shared" si="43"/>
        <v>242.70735868072143</v>
      </c>
      <c r="F233" s="39">
        <f t="shared" si="50"/>
        <v>0.18125056046712723</v>
      </c>
      <c r="G233" s="39">
        <f t="shared" si="51"/>
        <v>1.4747475408475913E-3</v>
      </c>
      <c r="I233" s="38"/>
    </row>
    <row r="234" spans="1:17" x14ac:dyDescent="0.2">
      <c r="A234" s="1">
        <v>5.5919999999999996</v>
      </c>
      <c r="B234" s="15">
        <v>3622.2448979999999</v>
      </c>
      <c r="C234" s="15">
        <v>387.95918369999998</v>
      </c>
      <c r="D234" s="15">
        <v>9.3208245190000003</v>
      </c>
      <c r="E234" s="39">
        <f t="shared" si="43"/>
        <v>242.49563047048656</v>
      </c>
      <c r="F234" s="39">
        <f t="shared" si="50"/>
        <v>0.18239366069666194</v>
      </c>
      <c r="G234" s="39">
        <f t="shared" si="51"/>
        <v>1.483961995231509E-3</v>
      </c>
      <c r="I234" s="38"/>
    </row>
    <row r="235" spans="1:17" x14ac:dyDescent="0.2">
      <c r="A235" s="1">
        <v>5.6159999999999997</v>
      </c>
      <c r="B235" s="15">
        <v>3577.469388</v>
      </c>
      <c r="C235" s="15">
        <v>382.85714289999999</v>
      </c>
      <c r="D235" s="15">
        <v>9.3336030749999992</v>
      </c>
      <c r="E235" s="39">
        <f t="shared" si="43"/>
        <v>242.325891661241</v>
      </c>
      <c r="F235" s="39">
        <f t="shared" si="50"/>
        <v>0.1833836705049835</v>
      </c>
      <c r="G235" s="39">
        <f t="shared" si="51"/>
        <v>1.4926242695725552E-3</v>
      </c>
      <c r="I235" s="38"/>
    </row>
    <row r="236" spans="1:17" x14ac:dyDescent="0.2">
      <c r="A236" s="1">
        <v>5.64</v>
      </c>
      <c r="B236" s="15">
        <v>3534.9795920000001</v>
      </c>
      <c r="C236" s="15">
        <v>378.26530609999998</v>
      </c>
      <c r="D236" s="15">
        <v>9.3450226010000002</v>
      </c>
      <c r="E236" s="39">
        <f t="shared" si="43"/>
        <v>242.1746020453235</v>
      </c>
      <c r="F236" s="39">
        <f t="shared" si="50"/>
        <v>0.18426836667544511</v>
      </c>
      <c r="G236" s="39">
        <f t="shared" si="51"/>
        <v>1.5006972347478941E-3</v>
      </c>
      <c r="I236" s="38"/>
    </row>
    <row r="237" spans="1:17" x14ac:dyDescent="0.2">
      <c r="A237" s="1">
        <v>5.6639999999999997</v>
      </c>
      <c r="B237" s="15">
        <v>3494.0816329999998</v>
      </c>
      <c r="C237" s="15">
        <v>373.06122449999998</v>
      </c>
      <c r="D237" s="15">
        <v>9.3561015679999997</v>
      </c>
      <c r="E237" s="39">
        <f t="shared" si="43"/>
        <v>242.02818095703253</v>
      </c>
      <c r="F237" s="39">
        <f t="shared" si="50"/>
        <v>0.1854246394615717</v>
      </c>
      <c r="G237" s="39">
        <f t="shared" si="51"/>
        <v>1.5098021751334578E-3</v>
      </c>
      <c r="I237" s="38"/>
    </row>
    <row r="238" spans="1:17" x14ac:dyDescent="0.2">
      <c r="A238" s="1">
        <v>5.6879999999999997</v>
      </c>
      <c r="B238" s="15">
        <v>3452.4081630000001</v>
      </c>
      <c r="C238" s="15">
        <v>368.06122449999998</v>
      </c>
      <c r="D238" s="15">
        <v>9.3699615739999995</v>
      </c>
      <c r="E238" s="39">
        <f t="shared" si="43"/>
        <v>241.84549782404335</v>
      </c>
      <c r="F238" s="39">
        <f t="shared" si="50"/>
        <v>0.18646573848211978</v>
      </c>
      <c r="G238" s="39">
        <f t="shared" si="51"/>
        <v>1.5185959143516781E-3</v>
      </c>
      <c r="I238" s="38"/>
    </row>
    <row r="239" spans="1:17" x14ac:dyDescent="0.2">
      <c r="A239" s="1">
        <v>5.7119999999999997</v>
      </c>
      <c r="B239" s="15">
        <v>3410.0816329999998</v>
      </c>
      <c r="C239" s="15">
        <v>363.8163265</v>
      </c>
      <c r="D239" s="15">
        <v>9.3812327290000006</v>
      </c>
      <c r="E239" s="39">
        <f t="shared" si="43"/>
        <v>241.69733920887361</v>
      </c>
      <c r="F239" s="39">
        <f t="shared" si="50"/>
        <v>0.1872872651066185</v>
      </c>
      <c r="G239" s="39">
        <f t="shared" si="51"/>
        <v>1.5266319758528606E-3</v>
      </c>
      <c r="I239" s="38"/>
    </row>
    <row r="240" spans="1:17" x14ac:dyDescent="0.2">
      <c r="A240" s="1">
        <v>5.7359999999999998</v>
      </c>
      <c r="B240" s="15">
        <v>3371.530612</v>
      </c>
      <c r="C240" s="15">
        <v>359.67346939999999</v>
      </c>
      <c r="D240" s="15">
        <v>9.3904585679999997</v>
      </c>
      <c r="E240" s="39">
        <f t="shared" si="43"/>
        <v>241.57633339116938</v>
      </c>
      <c r="F240" s="39">
        <f t="shared" si="50"/>
        <v>0.18817803449337478</v>
      </c>
      <c r="G240" s="39">
        <f t="shared" si="51"/>
        <v>1.5346145628669196E-3</v>
      </c>
      <c r="I240" s="38"/>
    </row>
    <row r="241" spans="1:9" x14ac:dyDescent="0.2">
      <c r="A241" s="1">
        <v>5.76</v>
      </c>
      <c r="B241" s="15">
        <v>3333.5882350000002</v>
      </c>
      <c r="C241" s="15">
        <v>354.9215686</v>
      </c>
      <c r="D241" s="15">
        <v>9.3978385129999999</v>
      </c>
      <c r="E241" s="39">
        <f t="shared" si="43"/>
        <v>241.47971089462479</v>
      </c>
      <c r="F241" s="39">
        <f t="shared" ref="F241:F250" si="52" xml:space="preserve"> E241^2*(1/SQRT(C241)-1/SQRT(B241))/(H$7*SQRT(11*51))</f>
        <v>0.18562267745884495</v>
      </c>
      <c r="G241" s="39">
        <f t="shared" ref="G241:G250" si="53" xml:space="preserve"> E241*(1/SQRT(C241)+1/SQRT(B241))/(H$7*SQRT(11*51))</f>
        <v>1.5132845605515459E-3</v>
      </c>
      <c r="I241" s="38"/>
    </row>
    <row r="242" spans="1:9" x14ac:dyDescent="0.2">
      <c r="A242" s="1">
        <v>5.7839999999999998</v>
      </c>
      <c r="B242" s="15">
        <v>3295.5098039999998</v>
      </c>
      <c r="C242" s="15">
        <v>349.8823529</v>
      </c>
      <c r="D242" s="15">
        <v>9.4075064299999998</v>
      </c>
      <c r="E242" s="39">
        <f t="shared" si="43"/>
        <v>241.35336441517265</v>
      </c>
      <c r="F242" s="39">
        <f t="shared" si="52"/>
        <v>0.18688610201459582</v>
      </c>
      <c r="G242" s="39">
        <f t="shared" si="53"/>
        <v>1.5228192973249604E-3</v>
      </c>
      <c r="I242" s="38"/>
    </row>
    <row r="243" spans="1:9" x14ac:dyDescent="0.2">
      <c r="A243" s="1">
        <v>5.8079999999999998</v>
      </c>
      <c r="B243" s="15">
        <v>3252.0588240000002</v>
      </c>
      <c r="C243" s="15">
        <v>345</v>
      </c>
      <c r="D243" s="15">
        <v>9.4173597040000008</v>
      </c>
      <c r="E243" s="39">
        <f t="shared" si="43"/>
        <v>241.22486485976452</v>
      </c>
      <c r="F243" s="39">
        <f t="shared" si="52"/>
        <v>0.18803891645010462</v>
      </c>
      <c r="G243" s="39">
        <f t="shared" si="53"/>
        <v>1.5325933656828109E-3</v>
      </c>
      <c r="I243" s="38"/>
    </row>
    <row r="244" spans="1:9" x14ac:dyDescent="0.2">
      <c r="A244" s="1">
        <v>5.8319999999999999</v>
      </c>
      <c r="B244" s="15">
        <v>3212.2745100000002</v>
      </c>
      <c r="C244" s="15">
        <v>340.39215689999997</v>
      </c>
      <c r="D244" s="15">
        <v>9.4262138699999998</v>
      </c>
      <c r="E244" s="39">
        <f t="shared" si="43"/>
        <v>241.10962610976893</v>
      </c>
      <c r="F244" s="39">
        <f t="shared" si="52"/>
        <v>0.1891784597913681</v>
      </c>
      <c r="G244" s="39">
        <f t="shared" si="53"/>
        <v>1.5419793082624312E-3</v>
      </c>
      <c r="I244" s="38"/>
    </row>
    <row r="245" spans="1:9" x14ac:dyDescent="0.2">
      <c r="A245" s="1">
        <v>5.8559999999999999</v>
      </c>
      <c r="B245" s="15">
        <v>3171.5882350000002</v>
      </c>
      <c r="C245" s="15">
        <v>336.0392157</v>
      </c>
      <c r="D245" s="15">
        <v>9.4363453649999993</v>
      </c>
      <c r="E245" s="39">
        <f t="shared" si="43"/>
        <v>240.9780301813565</v>
      </c>
      <c r="F245" s="39">
        <f t="shared" si="52"/>
        <v>0.19019769195397715</v>
      </c>
      <c r="G245" s="39">
        <f t="shared" si="53"/>
        <v>1.551063722444254E-3</v>
      </c>
      <c r="I245" s="38"/>
    </row>
    <row r="246" spans="1:9" x14ac:dyDescent="0.2">
      <c r="A246" s="1">
        <v>5.88</v>
      </c>
      <c r="B246" s="15">
        <v>3130.313725</v>
      </c>
      <c r="C246" s="15">
        <v>332.1176471</v>
      </c>
      <c r="D246" s="15">
        <v>9.4476765809999996</v>
      </c>
      <c r="E246" s="39">
        <f t="shared" si="43"/>
        <v>240.8311883656778</v>
      </c>
      <c r="F246" s="39">
        <f t="shared" si="52"/>
        <v>0.19102145397578488</v>
      </c>
      <c r="G246" s="39">
        <f t="shared" si="53"/>
        <v>1.5595040216564097E-3</v>
      </c>
      <c r="I246" s="38"/>
    </row>
    <row r="247" spans="1:9" x14ac:dyDescent="0.2">
      <c r="A247" s="1">
        <v>5.9039999999999999</v>
      </c>
      <c r="B247" s="15">
        <v>3091.0392160000001</v>
      </c>
      <c r="C247" s="15">
        <v>327.0392157</v>
      </c>
      <c r="D247" s="15">
        <v>9.4597491270000003</v>
      </c>
      <c r="E247" s="39">
        <f t="shared" si="43"/>
        <v>240.67512967401933</v>
      </c>
      <c r="F247" s="39">
        <f t="shared" si="52"/>
        <v>0.19237863578521958</v>
      </c>
      <c r="G247" s="39">
        <f t="shared" si="53"/>
        <v>1.5700107559607141E-3</v>
      </c>
      <c r="I247" s="38"/>
    </row>
    <row r="248" spans="1:9" x14ac:dyDescent="0.2">
      <c r="A248" s="1">
        <v>5.9279999999999999</v>
      </c>
      <c r="B248" s="15">
        <v>3053.901961</v>
      </c>
      <c r="C248" s="15">
        <v>322.33333329999999</v>
      </c>
      <c r="D248" s="15">
        <v>9.4751707270000001</v>
      </c>
      <c r="E248" s="39">
        <f t="shared" si="43"/>
        <v>240.47636135777884</v>
      </c>
      <c r="F248" s="39">
        <f t="shared" si="52"/>
        <v>0.19357007148450325</v>
      </c>
      <c r="G248" s="39">
        <f t="shared" si="53"/>
        <v>1.5796573965220927E-3</v>
      </c>
      <c r="I248" s="38"/>
    </row>
    <row r="249" spans="1:9" x14ac:dyDescent="0.2">
      <c r="A249" s="1">
        <v>5.952</v>
      </c>
      <c r="B249" s="15">
        <v>3014.9215690000001</v>
      </c>
      <c r="C249" s="15">
        <v>318.1176471</v>
      </c>
      <c r="D249" s="15">
        <v>9.4891358790000009</v>
      </c>
      <c r="E249" s="39">
        <f t="shared" si="43"/>
        <v>240.29692647366906</v>
      </c>
      <c r="F249" s="39">
        <f t="shared" si="52"/>
        <v>0.19457268878293246</v>
      </c>
      <c r="G249" s="39">
        <f t="shared" si="53"/>
        <v>1.5888411968408766E-3</v>
      </c>
      <c r="I249" s="38"/>
    </row>
    <row r="250" spans="1:9" x14ac:dyDescent="0.2">
      <c r="A250" s="1">
        <v>5.976</v>
      </c>
      <c r="B250" s="15">
        <v>2975.7254899999998</v>
      </c>
      <c r="C250" s="15">
        <v>313.74509799999998</v>
      </c>
      <c r="D250" s="15">
        <v>9.5050659159999995</v>
      </c>
      <c r="E250" s="39">
        <f t="shared" si="43"/>
        <v>240.09289326800206</v>
      </c>
      <c r="F250" s="39">
        <f t="shared" si="52"/>
        <v>0.19562676026169865</v>
      </c>
      <c r="G250" s="39">
        <f t="shared" si="53"/>
        <v>1.5983681778383625E-3</v>
      </c>
      <c r="I250" s="38"/>
    </row>
    <row r="251" spans="1:9" x14ac:dyDescent="0.2">
      <c r="A251" s="1">
        <v>6</v>
      </c>
      <c r="B251" s="15">
        <v>2944</v>
      </c>
      <c r="C251" s="15">
        <v>309.9433962</v>
      </c>
      <c r="D251" s="15">
        <v>9.5220998790000007</v>
      </c>
      <c r="E251" s="39">
        <f t="shared" si="43"/>
        <v>239.87548083817501</v>
      </c>
      <c r="F251" s="39">
        <f t="shared" ref="F251:F260" si="54" xml:space="preserve"> E251^2*(1/SQRT(C251)-1/SQRT(B251))/(H$7*SQRT(11*53))</f>
        <v>0.19279220395740726</v>
      </c>
      <c r="G251" s="39">
        <f t="shared" ref="G251:G260" si="55" xml:space="preserve"> E251*(1/SQRT(C251)+1/SQRT(B251))/(H$7*SQRT(11*53))</f>
        <v>1.5757940536057049E-3</v>
      </c>
      <c r="I251" s="38"/>
    </row>
    <row r="252" spans="1:9" x14ac:dyDescent="0.2">
      <c r="A252" s="1">
        <v>6.024</v>
      </c>
      <c r="B252" s="15">
        <v>2909.6981129999999</v>
      </c>
      <c r="C252" s="15">
        <v>305.47169810000003</v>
      </c>
      <c r="D252" s="15">
        <v>9.5408320700000004</v>
      </c>
      <c r="E252" s="39">
        <f t="shared" si="43"/>
        <v>239.637294537717</v>
      </c>
      <c r="F252" s="39">
        <f t="shared" si="54"/>
        <v>0.19394354401280373</v>
      </c>
      <c r="G252" s="39">
        <f t="shared" si="55"/>
        <v>1.5851638681665804E-3</v>
      </c>
      <c r="I252" s="38"/>
    </row>
    <row r="253" spans="1:9" x14ac:dyDescent="0.2">
      <c r="A253" s="1">
        <v>6.048</v>
      </c>
      <c r="B253" s="15">
        <v>2877.8301889999998</v>
      </c>
      <c r="C253" s="15">
        <v>300.13207549999998</v>
      </c>
      <c r="D253" s="15">
        <v>9.5571918740000008</v>
      </c>
      <c r="E253" s="39">
        <f t="shared" si="43"/>
        <v>239.43004178317682</v>
      </c>
      <c r="F253" s="39">
        <f t="shared" si="54"/>
        <v>0.19563231925306138</v>
      </c>
      <c r="G253" s="39">
        <f t="shared" si="55"/>
        <v>1.5965268939407038E-3</v>
      </c>
      <c r="I253" s="38"/>
    </row>
    <row r="254" spans="1:9" x14ac:dyDescent="0.2">
      <c r="A254" s="1">
        <v>6.0720000000000001</v>
      </c>
      <c r="B254" s="15">
        <v>2843.415094</v>
      </c>
      <c r="C254" s="15">
        <v>296.81132079999998</v>
      </c>
      <c r="D254" s="15">
        <v>9.5726915899999998</v>
      </c>
      <c r="E254" s="39">
        <f t="shared" si="43"/>
        <v>239.23434162900469</v>
      </c>
      <c r="F254" s="39">
        <f t="shared" si="54"/>
        <v>0.19635980608808745</v>
      </c>
      <c r="G254" s="39">
        <f t="shared" si="55"/>
        <v>1.604298079994437E-3</v>
      </c>
      <c r="I254" s="38"/>
    </row>
    <row r="255" spans="1:9" x14ac:dyDescent="0.2">
      <c r="A255" s="1">
        <v>6.0960000000000001</v>
      </c>
      <c r="B255" s="15">
        <v>2809.8490569999999</v>
      </c>
      <c r="C255" s="15">
        <v>292.32075470000001</v>
      </c>
      <c r="D255" s="15">
        <v>9.5905636160000007</v>
      </c>
      <c r="E255" s="39">
        <f t="shared" si="43"/>
        <v>239.00947719649011</v>
      </c>
      <c r="F255" s="39">
        <f t="shared" si="54"/>
        <v>0.19764918835680034</v>
      </c>
      <c r="G255" s="39">
        <f t="shared" si="55"/>
        <v>1.6143901185360909E-3</v>
      </c>
      <c r="I255" s="38"/>
    </row>
    <row r="256" spans="1:9" x14ac:dyDescent="0.2">
      <c r="A256" s="1">
        <v>6.12</v>
      </c>
      <c r="B256" s="15">
        <v>2779.415094</v>
      </c>
      <c r="C256" s="15">
        <v>288.75471700000003</v>
      </c>
      <c r="D256" s="15">
        <v>9.6094005889999998</v>
      </c>
      <c r="E256" s="39">
        <f t="shared" si="43"/>
        <v>238.77338079955717</v>
      </c>
      <c r="F256" s="39">
        <f t="shared" si="54"/>
        <v>0.19853856792192481</v>
      </c>
      <c r="G256" s="39">
        <f t="shared" si="55"/>
        <v>1.6224498961739191E-3</v>
      </c>
      <c r="I256" s="38"/>
    </row>
    <row r="257" spans="1:9" x14ac:dyDescent="0.2">
      <c r="A257" s="1">
        <v>6.1440000000000001</v>
      </c>
      <c r="B257" s="15">
        <v>2745.8490569999999</v>
      </c>
      <c r="C257" s="15">
        <v>285.09433960000001</v>
      </c>
      <c r="D257" s="15">
        <v>9.6295364229999993</v>
      </c>
      <c r="E257" s="39">
        <f t="shared" si="43"/>
        <v>238.52202980592972</v>
      </c>
      <c r="F257" s="39">
        <f t="shared" si="54"/>
        <v>0.19941738348612822</v>
      </c>
      <c r="G257" s="39">
        <f t="shared" si="55"/>
        <v>1.6309925901968694E-3</v>
      </c>
      <c r="I257" s="38"/>
    </row>
    <row r="258" spans="1:9" x14ac:dyDescent="0.2">
      <c r="A258" s="1">
        <v>6.1680000000000001</v>
      </c>
      <c r="B258" s="15">
        <v>2711.1886789999999</v>
      </c>
      <c r="C258" s="15">
        <v>281.490566</v>
      </c>
      <c r="D258" s="15">
        <v>9.649019676</v>
      </c>
      <c r="E258" s="39">
        <f t="shared" si="43"/>
        <v>238.27982632583613</v>
      </c>
      <c r="F258" s="39">
        <f t="shared" si="54"/>
        <v>0.20028333184409858</v>
      </c>
      <c r="G258" s="39">
        <f t="shared" si="55"/>
        <v>1.6397294135702108E-3</v>
      </c>
      <c r="I258" s="38"/>
    </row>
    <row r="259" spans="1:9" x14ac:dyDescent="0.2">
      <c r="A259" s="1">
        <v>6.1920000000000002</v>
      </c>
      <c r="B259" s="15">
        <v>2678.358491</v>
      </c>
      <c r="C259" s="15">
        <v>277.69811320000002</v>
      </c>
      <c r="D259" s="15">
        <v>9.6644840940000005</v>
      </c>
      <c r="E259" s="39">
        <f t="shared" ref="E259:E322" si="56" xml:space="preserve"> H$7/(LN(D259)-H$4)</f>
        <v>238.08827931078372</v>
      </c>
      <c r="F259" s="39">
        <f t="shared" si="54"/>
        <v>0.20138831487733666</v>
      </c>
      <c r="G259" s="39">
        <f t="shared" si="55"/>
        <v>1.6492834891833528E-3</v>
      </c>
      <c r="I259" s="38"/>
    </row>
    <row r="260" spans="1:9" x14ac:dyDescent="0.2">
      <c r="A260" s="1">
        <v>6.2160000000000002</v>
      </c>
      <c r="B260" s="15">
        <v>2648.6603770000002</v>
      </c>
      <c r="C260" s="15">
        <v>273.79245279999998</v>
      </c>
      <c r="D260" s="15">
        <v>9.6835246500000007</v>
      </c>
      <c r="E260" s="39">
        <f t="shared" si="56"/>
        <v>237.85327915837721</v>
      </c>
      <c r="F260" s="39">
        <f t="shared" si="54"/>
        <v>0.20256422468848595</v>
      </c>
      <c r="G260" s="39">
        <f t="shared" si="55"/>
        <v>1.6587572666160967E-3</v>
      </c>
      <c r="I260" s="38"/>
    </row>
    <row r="261" spans="1:9" x14ac:dyDescent="0.2">
      <c r="A261" s="1">
        <v>6.24</v>
      </c>
      <c r="B261" s="15">
        <v>2621.5272730000002</v>
      </c>
      <c r="C261" s="15">
        <v>270.49090910000001</v>
      </c>
      <c r="D261" s="15">
        <v>9.7034119879999992</v>
      </c>
      <c r="E261" s="39">
        <f t="shared" si="56"/>
        <v>237.6088140967619</v>
      </c>
      <c r="F261" s="39">
        <f t="shared" ref="F261:F270" si="57" xml:space="preserve"> E261^2*(1/SQRT(C261)-1/SQRT(B261))/(H$7*SQRT(11*55))</f>
        <v>0.19973272543458656</v>
      </c>
      <c r="G261" s="39">
        <f t="shared" ref="G261:G270" si="58" xml:space="preserve"> E261*(1/SQRT(C261)+1/SQRT(B261))/(H$7*SQRT(11*55))</f>
        <v>1.6361771575074116E-3</v>
      </c>
      <c r="I261" s="38"/>
    </row>
    <row r="262" spans="1:9" x14ac:dyDescent="0.2">
      <c r="A262" s="1">
        <v>6.2640000000000002</v>
      </c>
      <c r="B262" s="15">
        <v>2592.2363639999999</v>
      </c>
      <c r="C262" s="15">
        <v>266.6909091</v>
      </c>
      <c r="D262" s="15">
        <v>9.7246521230000003</v>
      </c>
      <c r="E262" s="39">
        <f t="shared" si="56"/>
        <v>237.34882505462596</v>
      </c>
      <c r="F262" s="39">
        <f t="shared" si="57"/>
        <v>0.20084889970298281</v>
      </c>
      <c r="G262" s="39">
        <f t="shared" si="58"/>
        <v>1.6454073926438009E-3</v>
      </c>
      <c r="I262" s="38"/>
    </row>
    <row r="263" spans="1:9" x14ac:dyDescent="0.2">
      <c r="A263" s="1">
        <v>6.2880000000000003</v>
      </c>
      <c r="B263" s="15">
        <v>2561.5090909999999</v>
      </c>
      <c r="C263" s="15">
        <v>263</v>
      </c>
      <c r="D263" s="15">
        <v>9.7469725369999995</v>
      </c>
      <c r="E263" s="39">
        <f t="shared" si="56"/>
        <v>237.07683442302346</v>
      </c>
      <c r="F263" s="39">
        <f t="shared" si="57"/>
        <v>0.20188586104194789</v>
      </c>
      <c r="G263" s="39">
        <f t="shared" si="58"/>
        <v>1.6546100227941894E-3</v>
      </c>
      <c r="I263" s="38"/>
    </row>
    <row r="264" spans="1:9" x14ac:dyDescent="0.2">
      <c r="A264" s="1">
        <v>6.3120000000000003</v>
      </c>
      <c r="B264" s="15">
        <v>2531.9272729999998</v>
      </c>
      <c r="C264" s="15">
        <v>259.45454549999999</v>
      </c>
      <c r="D264" s="15">
        <v>9.7730489570000003</v>
      </c>
      <c r="E264" s="39">
        <f t="shared" si="56"/>
        <v>236.76064738233606</v>
      </c>
      <c r="F264" s="39">
        <f t="shared" si="57"/>
        <v>0.2028122274118975</v>
      </c>
      <c r="G264" s="39">
        <f t="shared" si="58"/>
        <v>1.6632602609212592E-3</v>
      </c>
      <c r="I264" s="38"/>
    </row>
    <row r="265" spans="1:9" x14ac:dyDescent="0.2">
      <c r="A265" s="1">
        <v>6.3360000000000003</v>
      </c>
      <c r="B265" s="15">
        <v>2503.2181820000001</v>
      </c>
      <c r="C265" s="15">
        <v>255.70909090000001</v>
      </c>
      <c r="D265" s="15">
        <v>9.8003879470000008</v>
      </c>
      <c r="E265" s="39">
        <f t="shared" si="56"/>
        <v>236.43095644485985</v>
      </c>
      <c r="F265" s="39">
        <f t="shared" si="57"/>
        <v>0.20387395216963433</v>
      </c>
      <c r="G265" s="39">
        <f t="shared" si="58"/>
        <v>1.6724281928583594E-3</v>
      </c>
      <c r="I265" s="38"/>
    </row>
    <row r="266" spans="1:9" x14ac:dyDescent="0.2">
      <c r="A266" s="1">
        <v>6.36</v>
      </c>
      <c r="B266" s="15">
        <v>2473.4727269999998</v>
      </c>
      <c r="C266" s="15">
        <v>251.6</v>
      </c>
      <c r="D266" s="15">
        <v>9.8248383090000004</v>
      </c>
      <c r="E266" s="39">
        <f t="shared" si="56"/>
        <v>236.13765248958666</v>
      </c>
      <c r="F266" s="39">
        <f t="shared" si="57"/>
        <v>0.20522664088516246</v>
      </c>
      <c r="G266" s="39">
        <f t="shared" si="58"/>
        <v>1.6830732724492923E-3</v>
      </c>
      <c r="I266" s="38"/>
    </row>
    <row r="267" spans="1:9" x14ac:dyDescent="0.2">
      <c r="A267" s="1">
        <v>6.3840000000000003</v>
      </c>
      <c r="B267" s="15">
        <v>2445.0727270000002</v>
      </c>
      <c r="C267" s="15">
        <v>248</v>
      </c>
      <c r="D267" s="15">
        <v>9.8471566240000001</v>
      </c>
      <c r="E267" s="39">
        <f t="shared" si="56"/>
        <v>235.87119322549995</v>
      </c>
      <c r="F267" s="39">
        <f t="shared" si="57"/>
        <v>0.20638276100478301</v>
      </c>
      <c r="G267" s="39">
        <f t="shared" si="58"/>
        <v>1.6927463469012056E-3</v>
      </c>
      <c r="I267" s="38"/>
    </row>
    <row r="268" spans="1:9" x14ac:dyDescent="0.2">
      <c r="A268" s="1">
        <v>6.4080000000000004</v>
      </c>
      <c r="B268" s="15">
        <v>2417.1454549999999</v>
      </c>
      <c r="C268" s="15">
        <v>244.72727269999999</v>
      </c>
      <c r="D268" s="15">
        <v>9.8689141280000001</v>
      </c>
      <c r="E268" s="39">
        <f t="shared" si="56"/>
        <v>235.61258653017978</v>
      </c>
      <c r="F268" s="39">
        <f t="shared" si="57"/>
        <v>0.20738982324921959</v>
      </c>
      <c r="G268" s="39">
        <f t="shared" si="58"/>
        <v>1.7017897870091703E-3</v>
      </c>
      <c r="I268" s="38"/>
    </row>
    <row r="269" spans="1:9" x14ac:dyDescent="0.2">
      <c r="A269" s="1">
        <v>6.4320000000000004</v>
      </c>
      <c r="B269" s="15">
        <v>2388.5272730000002</v>
      </c>
      <c r="C269" s="15">
        <v>240.81818179999999</v>
      </c>
      <c r="D269" s="15">
        <v>9.8915715849999994</v>
      </c>
      <c r="E269" s="39">
        <f t="shared" si="56"/>
        <v>235.34448842071592</v>
      </c>
      <c r="F269" s="39">
        <f t="shared" si="57"/>
        <v>0.20879458722394459</v>
      </c>
      <c r="G269" s="39">
        <f t="shared" si="58"/>
        <v>1.7127282384918835E-3</v>
      </c>
      <c r="I269" s="38"/>
    </row>
    <row r="270" spans="1:9" x14ac:dyDescent="0.2">
      <c r="A270" s="1">
        <v>6.4560000000000004</v>
      </c>
      <c r="B270" s="15">
        <v>2359.4545450000001</v>
      </c>
      <c r="C270" s="15">
        <v>237.2363636</v>
      </c>
      <c r="D270" s="15">
        <v>9.9142068109999997</v>
      </c>
      <c r="E270" s="39">
        <f t="shared" si="56"/>
        <v>235.07787231232831</v>
      </c>
      <c r="F270" s="39">
        <f t="shared" si="57"/>
        <v>0.21002214952681819</v>
      </c>
      <c r="G270" s="39">
        <f t="shared" si="58"/>
        <v>1.7230859154220995E-3</v>
      </c>
      <c r="I270" s="38"/>
    </row>
    <row r="271" spans="1:9" x14ac:dyDescent="0.2">
      <c r="A271" s="1">
        <v>6.48</v>
      </c>
      <c r="B271" s="15">
        <v>2335.0175439999998</v>
      </c>
      <c r="C271" s="15">
        <v>234.84210529999999</v>
      </c>
      <c r="D271" s="15">
        <v>9.9383356529999993</v>
      </c>
      <c r="E271" s="39">
        <f t="shared" si="56"/>
        <v>234.79499466022261</v>
      </c>
      <c r="F271" s="39">
        <f t="shared" ref="F271:F280" si="59" xml:space="preserve"> E271^2*(1/SQRT(C271)-1/SQRT(B271))/(H$7*SQRT(11*57))</f>
        <v>0.20684206036784836</v>
      </c>
      <c r="G271" s="39">
        <f t="shared" ref="G271:G280" si="60" xml:space="preserve"> E271*(1/SQRT(C271)+1/SQRT(B271))/(H$7*SQRT(11*57))</f>
        <v>1.699200254608763E-3</v>
      </c>
      <c r="I271" s="38"/>
    </row>
    <row r="272" spans="1:9" x14ac:dyDescent="0.2">
      <c r="A272" s="1">
        <v>6.5039999999999996</v>
      </c>
      <c r="B272" s="15">
        <v>2308.4035090000002</v>
      </c>
      <c r="C272" s="15">
        <v>232.2982456</v>
      </c>
      <c r="D272" s="15">
        <v>9.961801779</v>
      </c>
      <c r="E272" s="39">
        <f t="shared" si="56"/>
        <v>234.52119434189206</v>
      </c>
      <c r="F272" s="39">
        <f t="shared" si="59"/>
        <v>0.20745920477653404</v>
      </c>
      <c r="G272" s="39">
        <f t="shared" si="60"/>
        <v>1.706603967460381E-3</v>
      </c>
      <c r="I272" s="38"/>
    </row>
    <row r="273" spans="1:9" x14ac:dyDescent="0.2">
      <c r="A273" s="1">
        <v>6.5279999999999996</v>
      </c>
      <c r="B273" s="15">
        <v>2281.561404</v>
      </c>
      <c r="C273" s="15">
        <v>229.0877193</v>
      </c>
      <c r="D273" s="15">
        <v>9.9829245360000005</v>
      </c>
      <c r="E273" s="39">
        <f t="shared" si="56"/>
        <v>234.27583095298024</v>
      </c>
      <c r="F273" s="39">
        <f t="shared" si="59"/>
        <v>0.20857845136608361</v>
      </c>
      <c r="G273" s="39">
        <f t="shared" si="60"/>
        <v>1.7162640438354465E-3</v>
      </c>
      <c r="I273" s="38"/>
    </row>
    <row r="274" spans="1:9" x14ac:dyDescent="0.2">
      <c r="A274" s="1">
        <v>6.5519999999999996</v>
      </c>
      <c r="B274" s="15">
        <v>2255.192982</v>
      </c>
      <c r="C274" s="15">
        <v>225.77192980000001</v>
      </c>
      <c r="D274" s="15">
        <v>10.00421948</v>
      </c>
      <c r="E274" s="39">
        <f t="shared" si="56"/>
        <v>234.02950990240495</v>
      </c>
      <c r="F274" s="39">
        <f t="shared" si="59"/>
        <v>0.2098065201327293</v>
      </c>
      <c r="G274" s="39">
        <f t="shared" si="60"/>
        <v>1.726389745673065E-3</v>
      </c>
      <c r="I274" s="38"/>
    </row>
    <row r="275" spans="1:9" x14ac:dyDescent="0.2">
      <c r="A275" s="1">
        <v>6.5759999999999996</v>
      </c>
      <c r="B275" s="15">
        <v>2228.5438600000002</v>
      </c>
      <c r="C275" s="15">
        <v>222.68421050000001</v>
      </c>
      <c r="D275" s="15">
        <v>10.021970189999999</v>
      </c>
      <c r="E275" s="39">
        <f t="shared" si="56"/>
        <v>233.82498012772768</v>
      </c>
      <c r="F275" s="39">
        <f t="shared" si="59"/>
        <v>0.21097888018067595</v>
      </c>
      <c r="G275" s="39">
        <f t="shared" si="60"/>
        <v>1.7364053751257524E-3</v>
      </c>
      <c r="I275" s="38"/>
    </row>
    <row r="276" spans="1:9" x14ac:dyDescent="0.2">
      <c r="A276" s="1">
        <v>6.6</v>
      </c>
      <c r="B276" s="15">
        <v>2204.280702</v>
      </c>
      <c r="C276" s="15">
        <v>219.22807019999999</v>
      </c>
      <c r="D276" s="15">
        <v>10.034021920000001</v>
      </c>
      <c r="E276" s="39">
        <f t="shared" si="56"/>
        <v>233.68652553501425</v>
      </c>
      <c r="F276" s="39">
        <f t="shared" si="59"/>
        <v>0.21261385533139401</v>
      </c>
      <c r="G276" s="39">
        <f t="shared" si="60"/>
        <v>1.7480178891721089E-3</v>
      </c>
      <c r="I276" s="38"/>
    </row>
    <row r="277" spans="1:9" x14ac:dyDescent="0.2">
      <c r="A277" s="1">
        <v>6.6239999999999997</v>
      </c>
      <c r="B277" s="15">
        <v>2179.2456139999999</v>
      </c>
      <c r="C277" s="15">
        <v>216</v>
      </c>
      <c r="D277" s="15">
        <v>10.046688700000001</v>
      </c>
      <c r="E277" s="39">
        <f t="shared" si="56"/>
        <v>233.54136044821482</v>
      </c>
      <c r="F277" s="39">
        <f t="shared" si="59"/>
        <v>0.21409862109428171</v>
      </c>
      <c r="G277" s="39">
        <f t="shared" si="60"/>
        <v>1.7592181842765464E-3</v>
      </c>
      <c r="I277" s="38"/>
    </row>
    <row r="278" spans="1:9" x14ac:dyDescent="0.2">
      <c r="A278" s="1">
        <v>6.6479999999999997</v>
      </c>
      <c r="B278" s="15">
        <v>2153.2105259999998</v>
      </c>
      <c r="C278" s="15">
        <v>213.36842110000001</v>
      </c>
      <c r="D278" s="15">
        <v>10.057906770000001</v>
      </c>
      <c r="E278" s="39">
        <f t="shared" si="56"/>
        <v>233.41310099646557</v>
      </c>
      <c r="F278" s="39">
        <f t="shared" si="59"/>
        <v>0.21519015214306506</v>
      </c>
      <c r="G278" s="39">
        <f t="shared" si="60"/>
        <v>1.7690108266323712E-3</v>
      </c>
      <c r="I278" s="38"/>
    </row>
    <row r="279" spans="1:9" x14ac:dyDescent="0.2">
      <c r="A279" s="1">
        <v>6.6719999999999997</v>
      </c>
      <c r="B279" s="15">
        <v>2126</v>
      </c>
      <c r="C279" s="15">
        <v>210.26315790000001</v>
      </c>
      <c r="D279" s="15">
        <v>10.06621992</v>
      </c>
      <c r="E279" s="39">
        <f t="shared" si="56"/>
        <v>233.31823730790677</v>
      </c>
      <c r="F279" s="39">
        <f t="shared" si="59"/>
        <v>0.21669378709394072</v>
      </c>
      <c r="G279" s="39">
        <f t="shared" si="60"/>
        <v>1.7808874080699683E-3</v>
      </c>
      <c r="I279" s="38"/>
    </row>
    <row r="280" spans="1:9" x14ac:dyDescent="0.2">
      <c r="A280" s="1">
        <v>6.6959999999999997</v>
      </c>
      <c r="B280" s="15">
        <v>2103.1052629999999</v>
      </c>
      <c r="C280" s="15">
        <v>207.94736839999999</v>
      </c>
      <c r="D280" s="15">
        <v>10.071433450000001</v>
      </c>
      <c r="E280" s="39">
        <f t="shared" si="56"/>
        <v>233.25882351387423</v>
      </c>
      <c r="F280" s="39">
        <f t="shared" si="59"/>
        <v>0.2177984485676985</v>
      </c>
      <c r="G280" s="39">
        <f t="shared" si="60"/>
        <v>1.7902672828213446E-3</v>
      </c>
      <c r="I280" s="38"/>
    </row>
    <row r="281" spans="1:9" x14ac:dyDescent="0.2">
      <c r="A281" s="1">
        <v>6.72</v>
      </c>
      <c r="B281" s="15">
        <v>2080.7118639999999</v>
      </c>
      <c r="C281" s="15">
        <v>206.4576271</v>
      </c>
      <c r="D281" s="15">
        <v>10.07771715</v>
      </c>
      <c r="E281" s="39">
        <f t="shared" si="56"/>
        <v>233.18729500487444</v>
      </c>
      <c r="F281" s="39">
        <f t="shared" ref="F281:F290" si="61" xml:space="preserve"> E281^2*(1/SQRT(C281)-1/SQRT(B281))/(H$7*SQRT(11*59))</f>
        <v>0.21454110414319277</v>
      </c>
      <c r="G281" s="39">
        <f t="shared" ref="G281:G290" si="62" xml:space="preserve"> E281*(1/SQRT(C281)+1/SQRT(B281))/(H$7*SQRT(11*59))</f>
        <v>1.7662007585003414E-3</v>
      </c>
      <c r="I281" s="38"/>
    </row>
    <row r="282" spans="1:9" x14ac:dyDescent="0.2">
      <c r="A282" s="1">
        <v>6.7439999999999998</v>
      </c>
      <c r="B282" s="15">
        <v>2056.610169</v>
      </c>
      <c r="C282" s="15">
        <v>203.9830508</v>
      </c>
      <c r="D282" s="15">
        <v>10.08069197</v>
      </c>
      <c r="E282" s="39">
        <f t="shared" si="56"/>
        <v>233.15346292568097</v>
      </c>
      <c r="F282" s="39">
        <f t="shared" si="61"/>
        <v>0.21579608987566762</v>
      </c>
      <c r="G282" s="39">
        <f t="shared" si="62"/>
        <v>1.7765371466571039E-3</v>
      </c>
      <c r="I282" s="38"/>
    </row>
    <row r="283" spans="1:9" x14ac:dyDescent="0.2">
      <c r="A283" s="1">
        <v>6.7679999999999998</v>
      </c>
      <c r="B283" s="15">
        <v>2033.1016950000001</v>
      </c>
      <c r="C283" s="15">
        <v>202.08474580000001</v>
      </c>
      <c r="D283" s="15">
        <v>10.080170409999999</v>
      </c>
      <c r="E283" s="39">
        <f t="shared" si="56"/>
        <v>233.15939309988431</v>
      </c>
      <c r="F283" s="39">
        <f t="shared" si="61"/>
        <v>0.21671125538806407</v>
      </c>
      <c r="G283" s="39">
        <f t="shared" si="62"/>
        <v>1.785366199865172E-3</v>
      </c>
      <c r="I283" s="38"/>
    </row>
    <row r="284" spans="1:9" x14ac:dyDescent="0.2">
      <c r="A284" s="1">
        <v>6.7919999999999998</v>
      </c>
      <c r="B284" s="15">
        <v>2009.4745760000001</v>
      </c>
      <c r="C284" s="15">
        <v>199.93220339999999</v>
      </c>
      <c r="D284" s="15">
        <v>10.08074081</v>
      </c>
      <c r="E284" s="39">
        <f t="shared" si="56"/>
        <v>233.1529076425727</v>
      </c>
      <c r="F284" s="39">
        <f t="shared" si="61"/>
        <v>0.21781341984669034</v>
      </c>
      <c r="G284" s="39">
        <f t="shared" si="62"/>
        <v>1.7951124587684971E-3</v>
      </c>
      <c r="I284" s="38"/>
    </row>
    <row r="285" spans="1:9" x14ac:dyDescent="0.2">
      <c r="A285" s="1">
        <v>6.8159999999999998</v>
      </c>
      <c r="B285" s="15">
        <v>1988.2881359999999</v>
      </c>
      <c r="C285" s="15">
        <v>197.91525419999999</v>
      </c>
      <c r="D285" s="15">
        <v>10.07841603</v>
      </c>
      <c r="E285" s="39">
        <f t="shared" si="56"/>
        <v>233.17934499168663</v>
      </c>
      <c r="F285" s="39">
        <f t="shared" si="61"/>
        <v>0.21894692100120164</v>
      </c>
      <c r="G285" s="39">
        <f t="shared" si="62"/>
        <v>1.8045403259569382E-3</v>
      </c>
      <c r="I285" s="38"/>
    </row>
    <row r="286" spans="1:9" x14ac:dyDescent="0.2">
      <c r="A286" s="1">
        <v>6.84</v>
      </c>
      <c r="B286" s="15">
        <v>1966.847458</v>
      </c>
      <c r="C286" s="15">
        <v>195.18644069999999</v>
      </c>
      <c r="D286" s="15">
        <v>10.07817247</v>
      </c>
      <c r="E286" s="39">
        <f t="shared" si="56"/>
        <v>233.18211545079785</v>
      </c>
      <c r="F286" s="39">
        <f t="shared" si="61"/>
        <v>0.22063178082276863</v>
      </c>
      <c r="G286" s="39">
        <f t="shared" si="62"/>
        <v>1.8164700749260002E-3</v>
      </c>
      <c r="I286" s="38"/>
    </row>
    <row r="287" spans="1:9" x14ac:dyDescent="0.2">
      <c r="A287" s="1">
        <v>6.8639999999999999</v>
      </c>
      <c r="B287" s="15">
        <v>1947.050847</v>
      </c>
      <c r="C287" s="15">
        <v>193.0169492</v>
      </c>
      <c r="D287" s="15">
        <v>10.083314420000001</v>
      </c>
      <c r="E287" s="39">
        <f t="shared" si="56"/>
        <v>233.12365470182527</v>
      </c>
      <c r="F287" s="39">
        <f t="shared" si="61"/>
        <v>0.22181111333254672</v>
      </c>
      <c r="G287" s="39">
        <f t="shared" si="62"/>
        <v>1.8259600332192272E-3</v>
      </c>
      <c r="I287" s="38"/>
    </row>
    <row r="288" spans="1:9" x14ac:dyDescent="0.2">
      <c r="A288" s="1">
        <v>6.8879999999999999</v>
      </c>
      <c r="B288" s="15">
        <v>1925.0677969999999</v>
      </c>
      <c r="C288" s="15">
        <v>190.91525419999999</v>
      </c>
      <c r="D288" s="15">
        <v>10.08926428</v>
      </c>
      <c r="E288" s="39">
        <f t="shared" si="56"/>
        <v>233.05608225911254</v>
      </c>
      <c r="F288" s="39">
        <f t="shared" si="61"/>
        <v>0.22287859368636792</v>
      </c>
      <c r="G288" s="39">
        <f t="shared" si="62"/>
        <v>1.8355402070656052E-3</v>
      </c>
      <c r="I288" s="38"/>
    </row>
    <row r="289" spans="1:17" x14ac:dyDescent="0.2">
      <c r="A289" s="1">
        <v>6.9119999999999999</v>
      </c>
      <c r="B289" s="15">
        <v>1904.2033899999999</v>
      </c>
      <c r="C289" s="15">
        <v>188.57627120000001</v>
      </c>
      <c r="D289" s="15">
        <v>10.09778549</v>
      </c>
      <c r="E289" s="39">
        <f t="shared" si="56"/>
        <v>232.95944453415026</v>
      </c>
      <c r="F289" s="39">
        <f t="shared" si="61"/>
        <v>0.22414421977392257</v>
      </c>
      <c r="G289" s="39">
        <f t="shared" si="62"/>
        <v>1.8458068158217667E-3</v>
      </c>
      <c r="I289" s="38"/>
    </row>
    <row r="290" spans="1:17" x14ac:dyDescent="0.2">
      <c r="A290" s="1">
        <v>6.9359999999999999</v>
      </c>
      <c r="B290" s="15">
        <v>1881.8983049999999</v>
      </c>
      <c r="C290" s="15">
        <v>186.59322030000001</v>
      </c>
      <c r="D290" s="15">
        <v>10.11029718</v>
      </c>
      <c r="E290" s="39">
        <f t="shared" si="56"/>
        <v>232.81784396485511</v>
      </c>
      <c r="F290" s="39">
        <f t="shared" si="61"/>
        <v>0.22499568803389366</v>
      </c>
      <c r="G290" s="39">
        <f t="shared" si="62"/>
        <v>1.8547302104183719E-3</v>
      </c>
      <c r="I290" s="38"/>
    </row>
    <row r="291" spans="1:17" x14ac:dyDescent="0.2">
      <c r="A291" s="1">
        <v>6.96</v>
      </c>
      <c r="B291" s="15">
        <v>1864.2295079999999</v>
      </c>
      <c r="C291" s="15">
        <v>184.37704919999999</v>
      </c>
      <c r="D291" s="15">
        <v>10.126910260000001</v>
      </c>
      <c r="E291" s="39">
        <f t="shared" si="56"/>
        <v>232.63036185896601</v>
      </c>
      <c r="F291" s="39">
        <f t="shared" ref="F291:F300" si="63" xml:space="preserve"> E291^2*(1/SQRT(C291)-1/SQRT(B291))/(H$7*SQRT(11*61))</f>
        <v>0.2223723656645985</v>
      </c>
      <c r="G291" s="39">
        <f t="shared" ref="G291:G300" si="64" xml:space="preserve"> E291*(1/SQRT(C291)+1/SQRT(B291))/(H$7*SQRT(11*61))</f>
        <v>1.8329716530027021E-3</v>
      </c>
      <c r="I291" s="38"/>
    </row>
    <row r="292" spans="1:17" x14ac:dyDescent="0.2">
      <c r="A292" s="1">
        <v>6.984</v>
      </c>
      <c r="B292" s="15">
        <v>1842.52459</v>
      </c>
      <c r="C292" s="15">
        <v>181.80327869999999</v>
      </c>
      <c r="D292" s="15">
        <v>10.140161020000001</v>
      </c>
      <c r="E292" s="39">
        <f t="shared" si="56"/>
        <v>232.48126046764253</v>
      </c>
      <c r="F292" s="39">
        <f t="shared" si="63"/>
        <v>0.22377422209452855</v>
      </c>
      <c r="G292" s="39">
        <f t="shared" si="64"/>
        <v>1.8442000469867594E-3</v>
      </c>
      <c r="I292" s="38"/>
    </row>
    <row r="293" spans="1:17" x14ac:dyDescent="0.2">
      <c r="A293" s="1">
        <v>7.008</v>
      </c>
      <c r="B293" s="15">
        <v>1822.262295</v>
      </c>
      <c r="C293" s="15">
        <v>179.57377049999999</v>
      </c>
      <c r="D293" s="15">
        <v>10.1550902</v>
      </c>
      <c r="E293" s="39">
        <f t="shared" si="56"/>
        <v>232.31373457820911</v>
      </c>
      <c r="F293" s="39">
        <f t="shared" si="63"/>
        <v>0.22490063521372308</v>
      </c>
      <c r="G293" s="39">
        <f t="shared" si="64"/>
        <v>1.8539921226632772E-3</v>
      </c>
      <c r="I293" s="38"/>
    </row>
    <row r="294" spans="1:17" x14ac:dyDescent="0.2">
      <c r="A294" s="1">
        <v>7.032</v>
      </c>
      <c r="B294" s="15">
        <v>1800.8196720000001</v>
      </c>
      <c r="C294" s="15">
        <v>177.3442623</v>
      </c>
      <c r="D294" s="15">
        <v>10.17021443</v>
      </c>
      <c r="E294" s="39">
        <f t="shared" si="56"/>
        <v>232.14451636734555</v>
      </c>
      <c r="F294" s="39">
        <f t="shared" si="63"/>
        <v>0.22601426739897648</v>
      </c>
      <c r="G294" s="39">
        <f t="shared" si="64"/>
        <v>1.8641044974873834E-3</v>
      </c>
      <c r="I294" s="38"/>
    </row>
    <row r="295" spans="1:17" x14ac:dyDescent="0.2">
      <c r="A295" s="1">
        <v>7.056</v>
      </c>
      <c r="B295" s="15">
        <v>1780.9672129999999</v>
      </c>
      <c r="C295" s="15">
        <v>174.80327869999999</v>
      </c>
      <c r="D295" s="15">
        <v>10.184370879999999</v>
      </c>
      <c r="E295" s="39">
        <f t="shared" si="56"/>
        <v>231.9865767979353</v>
      </c>
      <c r="F295" s="39">
        <f t="shared" si="63"/>
        <v>0.22751519218132107</v>
      </c>
      <c r="G295" s="39">
        <f t="shared" si="64"/>
        <v>1.8755774987805969E-3</v>
      </c>
      <c r="I295" s="38"/>
    </row>
    <row r="296" spans="1:17" s="17" customFormat="1" x14ac:dyDescent="0.2">
      <c r="A296" s="20">
        <v>7.08</v>
      </c>
      <c r="B296" s="21">
        <v>1762.5573770000001</v>
      </c>
      <c r="C296" s="21">
        <v>172.31147540000001</v>
      </c>
      <c r="D296" s="21">
        <v>10.199602710000001</v>
      </c>
      <c r="E296" s="45">
        <f t="shared" si="56"/>
        <v>231.81712383003816</v>
      </c>
      <c r="F296" s="45">
        <f t="shared" si="63"/>
        <v>0.22902653482036428</v>
      </c>
      <c r="G296" s="45">
        <f t="shared" si="64"/>
        <v>1.8868180951591494E-3</v>
      </c>
      <c r="H296" s="46"/>
      <c r="I296" s="36"/>
      <c r="J296" s="37"/>
      <c r="K296" s="25"/>
      <c r="L296" s="25"/>
      <c r="M296" s="22"/>
      <c r="N296" s="22"/>
      <c r="P296" s="21"/>
      <c r="Q296" s="18"/>
    </row>
    <row r="297" spans="1:17" x14ac:dyDescent="0.2">
      <c r="A297" s="1">
        <v>7.1040000000000001</v>
      </c>
      <c r="B297" s="15">
        <v>1744.196721</v>
      </c>
      <c r="C297" s="15">
        <v>170.62295080000001</v>
      </c>
      <c r="D297" s="15">
        <v>10.215689230000001</v>
      </c>
      <c r="E297" s="39">
        <f t="shared" si="56"/>
        <v>231.6387049811608</v>
      </c>
      <c r="F297" s="39">
        <f t="shared" si="63"/>
        <v>0.2297702225169525</v>
      </c>
      <c r="G297" s="39">
        <f t="shared" si="64"/>
        <v>1.8948127937479743E-3</v>
      </c>
      <c r="I297" s="38"/>
    </row>
    <row r="298" spans="1:17" x14ac:dyDescent="0.2">
      <c r="A298" s="1">
        <v>7.1280000000000001</v>
      </c>
      <c r="B298" s="15">
        <v>1724.1311479999999</v>
      </c>
      <c r="C298" s="15">
        <v>168.18032790000001</v>
      </c>
      <c r="D298" s="15">
        <v>10.23009592</v>
      </c>
      <c r="E298" s="39">
        <f t="shared" si="56"/>
        <v>231.47938823142226</v>
      </c>
      <c r="F298" s="39">
        <f t="shared" si="63"/>
        <v>0.23126423851614006</v>
      </c>
      <c r="G298" s="39">
        <f t="shared" si="64"/>
        <v>1.906563808814588E-3</v>
      </c>
      <c r="I298" s="38"/>
    </row>
    <row r="299" spans="1:17" x14ac:dyDescent="0.2">
      <c r="A299" s="1">
        <v>7.1520000000000001</v>
      </c>
      <c r="B299" s="15">
        <v>1707.672131</v>
      </c>
      <c r="C299" s="15">
        <v>166.60655740000001</v>
      </c>
      <c r="D299" s="15">
        <v>10.242919690000001</v>
      </c>
      <c r="E299" s="39">
        <f t="shared" si="56"/>
        <v>231.33794874884518</v>
      </c>
      <c r="F299" s="39">
        <f t="shared" si="63"/>
        <v>0.23206003867459321</v>
      </c>
      <c r="G299" s="39">
        <f t="shared" si="64"/>
        <v>1.9144203101996138E-3</v>
      </c>
      <c r="I299" s="38"/>
    </row>
    <row r="300" spans="1:17" x14ac:dyDescent="0.2">
      <c r="A300" s="1">
        <v>7.1760000000000002</v>
      </c>
      <c r="B300" s="15">
        <v>1688.1311479999999</v>
      </c>
      <c r="C300" s="15">
        <v>164.6393443</v>
      </c>
      <c r="D300" s="15">
        <v>10.2570894</v>
      </c>
      <c r="E300" s="39">
        <f t="shared" si="56"/>
        <v>231.18207050648473</v>
      </c>
      <c r="F300" s="39">
        <f t="shared" si="63"/>
        <v>0.23314735767750178</v>
      </c>
      <c r="G300" s="39">
        <f t="shared" si="64"/>
        <v>1.9244415952898283E-3</v>
      </c>
      <c r="I300" s="38"/>
    </row>
    <row r="301" spans="1:17" x14ac:dyDescent="0.2">
      <c r="A301" s="1">
        <v>7.2</v>
      </c>
      <c r="B301" s="15">
        <v>1671.0952380000001</v>
      </c>
      <c r="C301" s="15">
        <v>162.984127</v>
      </c>
      <c r="D301" s="15">
        <v>10.273488439999999</v>
      </c>
      <c r="E301" s="39">
        <f t="shared" si="56"/>
        <v>231.00219787062088</v>
      </c>
      <c r="F301" s="39">
        <f t="shared" ref="F301:F310" si="65" xml:space="preserve"> E301^2*(1/SQRT(C301)-1/SQRT(B301))/(H$7*SQRT(11*63))</f>
        <v>0.23021808730165699</v>
      </c>
      <c r="G301" s="39">
        <f t="shared" ref="G301:G310" si="66" xml:space="preserve"> E301*(1/SQRT(C301)+1/SQRT(B301))/(H$7*SQRT(11*63))</f>
        <v>1.9017677679040194E-3</v>
      </c>
      <c r="I301" s="38"/>
    </row>
    <row r="302" spans="1:17" x14ac:dyDescent="0.2">
      <c r="A302" s="1">
        <v>7.2240000000000002</v>
      </c>
      <c r="B302" s="15">
        <v>1653.9047619999999</v>
      </c>
      <c r="C302" s="15">
        <v>160.7619048</v>
      </c>
      <c r="D302" s="15">
        <v>10.28613575</v>
      </c>
      <c r="E302" s="39">
        <f t="shared" si="56"/>
        <v>230.86386270015237</v>
      </c>
      <c r="F302" s="39">
        <f t="shared" si="65"/>
        <v>0.23170420623685151</v>
      </c>
      <c r="G302" s="39">
        <f t="shared" si="66"/>
        <v>1.9129491954598327E-3</v>
      </c>
      <c r="I302" s="38"/>
    </row>
    <row r="303" spans="1:17" x14ac:dyDescent="0.2">
      <c r="A303" s="1">
        <v>7.2480000000000002</v>
      </c>
      <c r="B303" s="15">
        <v>1636.126984</v>
      </c>
      <c r="C303" s="15">
        <v>158.952381</v>
      </c>
      <c r="D303" s="15">
        <v>10.299957620000001</v>
      </c>
      <c r="E303" s="39">
        <f t="shared" si="56"/>
        <v>230.71306366312174</v>
      </c>
      <c r="F303" s="39">
        <f t="shared" si="65"/>
        <v>0.23274204244443328</v>
      </c>
      <c r="G303" s="39">
        <f t="shared" si="66"/>
        <v>1.9224332318674498E-3</v>
      </c>
      <c r="I303" s="38"/>
    </row>
    <row r="304" spans="1:17" x14ac:dyDescent="0.2">
      <c r="A304" s="1">
        <v>7.2720000000000002</v>
      </c>
      <c r="B304" s="15">
        <v>1618.603175</v>
      </c>
      <c r="C304" s="15">
        <v>157.31746029999999</v>
      </c>
      <c r="D304" s="15">
        <v>10.31398699</v>
      </c>
      <c r="E304" s="39">
        <f t="shared" si="56"/>
        <v>230.56040848377526</v>
      </c>
      <c r="F304" s="39">
        <f t="shared" si="65"/>
        <v>0.23361609192136379</v>
      </c>
      <c r="G304" s="39">
        <f t="shared" si="66"/>
        <v>1.9312167912753956E-3</v>
      </c>
      <c r="I304" s="38"/>
    </row>
    <row r="305" spans="1:9" x14ac:dyDescent="0.2">
      <c r="A305" s="1">
        <v>7.2960000000000003</v>
      </c>
      <c r="B305" s="15">
        <v>1601.5238099999999</v>
      </c>
      <c r="C305" s="15">
        <v>155.33333329999999</v>
      </c>
      <c r="D305" s="15">
        <v>10.33007828</v>
      </c>
      <c r="E305" s="39">
        <f t="shared" si="56"/>
        <v>230.38582076150993</v>
      </c>
      <c r="F305" s="39">
        <f t="shared" si="65"/>
        <v>0.23485823595800023</v>
      </c>
      <c r="G305" s="39">
        <f t="shared" si="66"/>
        <v>1.9415592199156608E-3</v>
      </c>
      <c r="I305" s="38"/>
    </row>
    <row r="306" spans="1:9" x14ac:dyDescent="0.2">
      <c r="A306" s="1">
        <v>7.32</v>
      </c>
      <c r="B306" s="15">
        <v>1585.603175</v>
      </c>
      <c r="C306" s="15">
        <v>152.92063490000001</v>
      </c>
      <c r="D306" s="15">
        <v>10.348467339999999</v>
      </c>
      <c r="E306" s="39">
        <f t="shared" si="56"/>
        <v>230.18695793528289</v>
      </c>
      <c r="F306" s="39">
        <f t="shared" si="65"/>
        <v>0.236597482033648</v>
      </c>
      <c r="G306" s="39">
        <f t="shared" si="66"/>
        <v>1.9538137045688238E-3</v>
      </c>
      <c r="I306" s="38"/>
    </row>
    <row r="307" spans="1:9" x14ac:dyDescent="0.2">
      <c r="A307" s="1">
        <v>7.3440000000000003</v>
      </c>
      <c r="B307" s="15">
        <v>1568.6984130000001</v>
      </c>
      <c r="C307" s="15">
        <v>151.30158729999999</v>
      </c>
      <c r="D307" s="15">
        <v>10.36568731</v>
      </c>
      <c r="E307" s="39">
        <f t="shared" si="56"/>
        <v>230.0013682213079</v>
      </c>
      <c r="F307" s="39">
        <f t="shared" si="65"/>
        <v>0.23747261137493553</v>
      </c>
      <c r="G307" s="39">
        <f t="shared" si="66"/>
        <v>1.9626732595640337E-3</v>
      </c>
      <c r="I307" s="38"/>
    </row>
    <row r="308" spans="1:9" x14ac:dyDescent="0.2">
      <c r="A308" s="1">
        <v>7.3680000000000003</v>
      </c>
      <c r="B308" s="15">
        <v>1549.7619050000001</v>
      </c>
      <c r="C308" s="15">
        <v>149.38095240000001</v>
      </c>
      <c r="D308" s="15">
        <v>10.382086770000001</v>
      </c>
      <c r="E308" s="39">
        <f t="shared" si="56"/>
        <v>229.82518535965531</v>
      </c>
      <c r="F308" s="39">
        <f t="shared" si="65"/>
        <v>0.23866223744336676</v>
      </c>
      <c r="G308" s="39">
        <f t="shared" si="66"/>
        <v>1.9735898350198618E-3</v>
      </c>
      <c r="I308" s="38"/>
    </row>
    <row r="309" spans="1:9" x14ac:dyDescent="0.2">
      <c r="A309" s="1">
        <v>7.3920000000000003</v>
      </c>
      <c r="B309" s="15">
        <v>1534.9682539999999</v>
      </c>
      <c r="C309" s="15">
        <v>147.5079365</v>
      </c>
      <c r="D309" s="15">
        <v>10.397463159999999</v>
      </c>
      <c r="E309" s="39">
        <f t="shared" si="56"/>
        <v>229.66049061975306</v>
      </c>
      <c r="F309" s="39">
        <f t="shared" si="65"/>
        <v>0.23999186212962043</v>
      </c>
      <c r="G309" s="39">
        <f t="shared" si="66"/>
        <v>1.9839462186011501E-3</v>
      </c>
      <c r="I309" s="38"/>
    </row>
    <row r="310" spans="1:9" x14ac:dyDescent="0.2">
      <c r="A310" s="1">
        <v>7.4160000000000004</v>
      </c>
      <c r="B310" s="15">
        <v>1518</v>
      </c>
      <c r="C310" s="15">
        <v>145.58730159999999</v>
      </c>
      <c r="D310" s="15">
        <v>10.41673224</v>
      </c>
      <c r="E310" s="39">
        <f t="shared" si="56"/>
        <v>229.45477732391322</v>
      </c>
      <c r="F310" s="39">
        <f t="shared" si="65"/>
        <v>0.24124487566116978</v>
      </c>
      <c r="G310" s="39">
        <f t="shared" si="66"/>
        <v>1.9947314529707642E-3</v>
      </c>
      <c r="I310" s="38"/>
    </row>
    <row r="311" spans="1:9" x14ac:dyDescent="0.2">
      <c r="A311" s="1">
        <v>7.44</v>
      </c>
      <c r="B311" s="15">
        <v>1504.5076919999999</v>
      </c>
      <c r="C311" s="15">
        <v>143.8923077</v>
      </c>
      <c r="D311" s="15">
        <v>10.435301129999999</v>
      </c>
      <c r="E311" s="39">
        <f t="shared" si="56"/>
        <v>229.25724629944622</v>
      </c>
      <c r="F311" s="39">
        <f t="shared" ref="F311:F320" si="67" xml:space="preserve"> E311^2*(1/SQRT(C311)-1/SQRT(B311))/(H$7*SQRT(11*65))</f>
        <v>0.23863679539191218</v>
      </c>
      <c r="G311" s="39">
        <f t="shared" ref="G311:G320" si="68" xml:space="preserve"> E311*(1/SQRT(C311)+1/SQRT(B311))/(H$7*SQRT(11*65))</f>
        <v>1.972986650453945E-3</v>
      </c>
      <c r="I311" s="38"/>
    </row>
    <row r="312" spans="1:9" x14ac:dyDescent="0.2">
      <c r="A312" s="1">
        <v>7.4640000000000004</v>
      </c>
      <c r="B312" s="15">
        <v>1487.3384619999999</v>
      </c>
      <c r="C312" s="15">
        <v>142.43076919999999</v>
      </c>
      <c r="D312" s="15">
        <v>10.45031539</v>
      </c>
      <c r="E312" s="39">
        <f t="shared" si="56"/>
        <v>229.09803326007867</v>
      </c>
      <c r="F312" s="39">
        <f t="shared" si="67"/>
        <v>0.23945697789942647</v>
      </c>
      <c r="G312" s="39">
        <f t="shared" si="68"/>
        <v>1.9820033679608467E-3</v>
      </c>
      <c r="I312" s="38"/>
    </row>
    <row r="313" spans="1:9" x14ac:dyDescent="0.2">
      <c r="A313" s="1">
        <v>7.4880000000000004</v>
      </c>
      <c r="B313" s="15">
        <v>1471.2</v>
      </c>
      <c r="C313" s="15">
        <v>140.53846150000001</v>
      </c>
      <c r="D313" s="15">
        <v>10.468815859999999</v>
      </c>
      <c r="E313" s="39">
        <f t="shared" si="56"/>
        <v>228.90246941742885</v>
      </c>
      <c r="F313" s="39">
        <f t="shared" si="67"/>
        <v>0.24078514987425004</v>
      </c>
      <c r="G313" s="39">
        <f t="shared" si="68"/>
        <v>1.9930187347764815E-3</v>
      </c>
      <c r="I313" s="38"/>
    </row>
    <row r="314" spans="1:9" x14ac:dyDescent="0.2">
      <c r="A314" s="1">
        <v>7.5119999999999996</v>
      </c>
      <c r="B314" s="15">
        <v>1454.907692</v>
      </c>
      <c r="C314" s="15">
        <v>139.06153850000001</v>
      </c>
      <c r="D314" s="15">
        <v>10.48516506</v>
      </c>
      <c r="E314" s="39">
        <f t="shared" si="56"/>
        <v>228.73021056427851</v>
      </c>
      <c r="F314" s="39">
        <f t="shared" si="67"/>
        <v>0.24166534662156114</v>
      </c>
      <c r="G314" s="39">
        <f t="shared" si="68"/>
        <v>2.0022016199525198E-3</v>
      </c>
      <c r="I314" s="38"/>
    </row>
    <row r="315" spans="1:9" x14ac:dyDescent="0.2">
      <c r="A315" s="1">
        <v>7.5359999999999996</v>
      </c>
      <c r="B315" s="15">
        <v>1438.6</v>
      </c>
      <c r="C315" s="15">
        <v>137</v>
      </c>
      <c r="D315" s="15">
        <v>10.50165732</v>
      </c>
      <c r="E315" s="39">
        <f t="shared" si="56"/>
        <v>228.55697817963065</v>
      </c>
      <c r="F315" s="39">
        <f t="shared" si="67"/>
        <v>0.2433072601445663</v>
      </c>
      <c r="G315" s="39">
        <f t="shared" si="68"/>
        <v>2.0148107450009582E-3</v>
      </c>
      <c r="I315" s="38"/>
    </row>
    <row r="316" spans="1:9" x14ac:dyDescent="0.2">
      <c r="A316" s="1">
        <v>7.56</v>
      </c>
      <c r="B316" s="15">
        <v>1422.6923079999999</v>
      </c>
      <c r="C316" s="15">
        <v>135.30769230000001</v>
      </c>
      <c r="D316" s="15">
        <v>10.519361140000001</v>
      </c>
      <c r="E316" s="39">
        <f t="shared" si="56"/>
        <v>228.3716133087359</v>
      </c>
      <c r="F316" s="39">
        <f t="shared" si="67"/>
        <v>0.24449855695810929</v>
      </c>
      <c r="G316" s="39">
        <f t="shared" si="68"/>
        <v>2.025414231716989E-3</v>
      </c>
      <c r="I316" s="38"/>
    </row>
    <row r="317" spans="1:9" x14ac:dyDescent="0.2">
      <c r="A317" s="1">
        <v>7.5839999999999996</v>
      </c>
      <c r="B317" s="15">
        <v>1407.9846150000001</v>
      </c>
      <c r="C317" s="15">
        <v>133.66153850000001</v>
      </c>
      <c r="D317" s="15">
        <v>10.534457789999999</v>
      </c>
      <c r="E317" s="39">
        <f t="shared" si="56"/>
        <v>228.21402945040256</v>
      </c>
      <c r="F317" s="39">
        <f t="shared" si="67"/>
        <v>0.24576139187789187</v>
      </c>
      <c r="G317" s="39">
        <f t="shared" si="68"/>
        <v>2.0359986954905092E-3</v>
      </c>
      <c r="I317" s="38"/>
    </row>
    <row r="318" spans="1:9" x14ac:dyDescent="0.2">
      <c r="A318" s="1">
        <v>7.6079999999999997</v>
      </c>
      <c r="B318" s="15">
        <v>1392.676923</v>
      </c>
      <c r="C318" s="15">
        <v>131.7384615</v>
      </c>
      <c r="D318" s="15">
        <v>10.55016372</v>
      </c>
      <c r="E318" s="39">
        <f t="shared" si="56"/>
        <v>228.05055537300942</v>
      </c>
      <c r="F318" s="39">
        <f t="shared" si="67"/>
        <v>0.24738994449790286</v>
      </c>
      <c r="G318" s="39">
        <f t="shared" si="68"/>
        <v>2.0484776886704661E-3</v>
      </c>
      <c r="I318" s="38"/>
    </row>
    <row r="319" spans="1:9" x14ac:dyDescent="0.2">
      <c r="A319" s="1">
        <v>7.6319999999999997</v>
      </c>
      <c r="B319" s="15">
        <v>1377.4307690000001</v>
      </c>
      <c r="C319" s="15">
        <v>130.5076923</v>
      </c>
      <c r="D319" s="15">
        <v>10.56607284</v>
      </c>
      <c r="E319" s="39">
        <f t="shared" si="56"/>
        <v>227.88545237842487</v>
      </c>
      <c r="F319" s="39">
        <f t="shared" si="67"/>
        <v>0.2481045621313008</v>
      </c>
      <c r="G319" s="39">
        <f t="shared" si="68"/>
        <v>2.0570165255806958E-3</v>
      </c>
      <c r="I319" s="38"/>
    </row>
    <row r="320" spans="1:9" x14ac:dyDescent="0.2">
      <c r="A320" s="1">
        <v>7.6559999999999997</v>
      </c>
      <c r="B320" s="15">
        <v>1362.030769</v>
      </c>
      <c r="C320" s="15">
        <v>128.64615380000001</v>
      </c>
      <c r="D320" s="15">
        <v>10.58311307</v>
      </c>
      <c r="E320" s="39">
        <f t="shared" si="56"/>
        <v>227.70915069063068</v>
      </c>
      <c r="F320" s="39">
        <f t="shared" si="67"/>
        <v>0.2496798094281317</v>
      </c>
      <c r="G320" s="39">
        <f t="shared" si="68"/>
        <v>2.0694826099696951E-3</v>
      </c>
      <c r="I320" s="38"/>
    </row>
    <row r="321" spans="1:9" x14ac:dyDescent="0.2">
      <c r="A321" s="1">
        <v>7.68</v>
      </c>
      <c r="B321" s="15">
        <v>1349.4029849999999</v>
      </c>
      <c r="C321" s="15">
        <v>127.04477610000001</v>
      </c>
      <c r="D321" s="15">
        <v>10.59406514</v>
      </c>
      <c r="E321" s="39">
        <f t="shared" si="56"/>
        <v>227.59613180740595</v>
      </c>
      <c r="F321" s="39">
        <f t="shared" ref="F321:F330" si="69" xml:space="preserve"> E321^2*(1/SQRT(C321)-1/SQRT(B321))/(H$7*SQRT(11*67))</f>
        <v>0.2474004823301395</v>
      </c>
      <c r="G321" s="39">
        <f t="shared" ref="G321:G330" si="70" xml:space="preserve"> E321*(1/SQRT(C321)+1/SQRT(B321))/(H$7*SQRT(11*67))</f>
        <v>2.0493758289249525E-3</v>
      </c>
      <c r="I321" s="38"/>
    </row>
    <row r="322" spans="1:9" x14ac:dyDescent="0.2">
      <c r="A322" s="1">
        <v>7.7039999999999997</v>
      </c>
      <c r="B322" s="15">
        <v>1334.8656719999999</v>
      </c>
      <c r="C322" s="15">
        <v>125.6716418</v>
      </c>
      <c r="D322" s="15">
        <v>10.60502054</v>
      </c>
      <c r="E322" s="39">
        <f t="shared" si="56"/>
        <v>227.48330740258496</v>
      </c>
      <c r="F322" s="39">
        <f t="shared" si="69"/>
        <v>0.24850379848130363</v>
      </c>
      <c r="G322" s="39">
        <f t="shared" si="70"/>
        <v>2.0595114852697224E-3</v>
      </c>
      <c r="I322" s="38"/>
    </row>
    <row r="323" spans="1:9" x14ac:dyDescent="0.2">
      <c r="A323" s="1">
        <v>7.7279999999999998</v>
      </c>
      <c r="B323" s="15">
        <v>1319.1492539999999</v>
      </c>
      <c r="C323" s="15">
        <v>124.26865669999999</v>
      </c>
      <c r="D323" s="15">
        <v>10.613827519999999</v>
      </c>
      <c r="E323" s="39">
        <f t="shared" ref="E323:E386" si="71" xml:space="preserve"> H$7/(LN(D323)-H$4)</f>
        <v>227.39277398421629</v>
      </c>
      <c r="F323" s="39">
        <f t="shared" si="69"/>
        <v>0.24966968296485098</v>
      </c>
      <c r="G323" s="39">
        <f t="shared" si="70"/>
        <v>2.070430446710533E-3</v>
      </c>
      <c r="I323" s="38"/>
    </row>
    <row r="324" spans="1:9" x14ac:dyDescent="0.2">
      <c r="A324" s="1">
        <v>7.7519999999999998</v>
      </c>
      <c r="B324" s="15">
        <v>1305.7910449999999</v>
      </c>
      <c r="C324" s="15">
        <v>122.6865672</v>
      </c>
      <c r="D324" s="15">
        <v>10.62091285</v>
      </c>
      <c r="E324" s="39">
        <f t="shared" si="71"/>
        <v>227.32004541729032</v>
      </c>
      <c r="F324" s="39">
        <f t="shared" si="69"/>
        <v>0.25126002361385591</v>
      </c>
      <c r="G324" s="39">
        <f t="shared" si="70"/>
        <v>2.0824266381038068E-3</v>
      </c>
      <c r="I324" s="38"/>
    </row>
    <row r="325" spans="1:9" x14ac:dyDescent="0.2">
      <c r="A325" s="1">
        <v>7.7759999999999998</v>
      </c>
      <c r="B325" s="15">
        <v>1292.1194029999999</v>
      </c>
      <c r="C325" s="15">
        <v>121.3283582</v>
      </c>
      <c r="D325" s="15">
        <v>10.62749107</v>
      </c>
      <c r="E325" s="39">
        <f t="shared" si="71"/>
        <v>227.25260718219533</v>
      </c>
      <c r="F325" s="39">
        <f t="shared" si="69"/>
        <v>0.25254645696383959</v>
      </c>
      <c r="G325" s="39">
        <f t="shared" si="70"/>
        <v>2.0932797559737688E-3</v>
      </c>
      <c r="I325" s="38"/>
    </row>
    <row r="326" spans="1:9" x14ac:dyDescent="0.2">
      <c r="A326" s="1">
        <v>7.8</v>
      </c>
      <c r="B326" s="15">
        <v>1278.5074629999999</v>
      </c>
      <c r="C326" s="15">
        <v>120.3731343</v>
      </c>
      <c r="D326" s="15">
        <v>10.63263976</v>
      </c>
      <c r="E326" s="39">
        <f t="shared" si="71"/>
        <v>227.19988112612637</v>
      </c>
      <c r="F326" s="39">
        <f t="shared" si="69"/>
        <v>0.25327839237569799</v>
      </c>
      <c r="G326" s="39">
        <f t="shared" si="70"/>
        <v>2.101743747970623E-3</v>
      </c>
      <c r="I326" s="38"/>
    </row>
    <row r="327" spans="1:9" x14ac:dyDescent="0.2">
      <c r="A327" s="1">
        <v>7.8239999999999998</v>
      </c>
      <c r="B327" s="15">
        <v>1265.0895519999999</v>
      </c>
      <c r="C327" s="15">
        <v>118.95522389999999</v>
      </c>
      <c r="D327" s="15">
        <v>10.63613239</v>
      </c>
      <c r="E327" s="39">
        <f t="shared" si="71"/>
        <v>227.16414269049238</v>
      </c>
      <c r="F327" s="39">
        <f t="shared" si="69"/>
        <v>0.25477646797596998</v>
      </c>
      <c r="G327" s="39">
        <f t="shared" si="70"/>
        <v>2.1135779404160382E-3</v>
      </c>
      <c r="I327" s="38"/>
    </row>
    <row r="328" spans="1:9" x14ac:dyDescent="0.2">
      <c r="A328" s="1">
        <v>7.8479999999999999</v>
      </c>
      <c r="B328" s="15">
        <v>1251.5820900000001</v>
      </c>
      <c r="C328" s="15">
        <v>117.73134330000001</v>
      </c>
      <c r="D328" s="15">
        <v>10.642420789999999</v>
      </c>
      <c r="E328" s="39">
        <f t="shared" si="71"/>
        <v>227.09985435142846</v>
      </c>
      <c r="F328" s="39">
        <f t="shared" si="69"/>
        <v>0.25593015735046021</v>
      </c>
      <c r="G328" s="39">
        <f t="shared" si="70"/>
        <v>2.1240320317080469E-3</v>
      </c>
      <c r="I328" s="38"/>
    </row>
    <row r="329" spans="1:9" x14ac:dyDescent="0.2">
      <c r="A329" s="1">
        <v>7.8719999999999999</v>
      </c>
      <c r="B329" s="15">
        <v>1238.358209</v>
      </c>
      <c r="C329" s="15">
        <v>116.2835821</v>
      </c>
      <c r="D329" s="15">
        <v>10.651923010000001</v>
      </c>
      <c r="E329" s="39">
        <f t="shared" si="71"/>
        <v>227.00285105139173</v>
      </c>
      <c r="F329" s="39">
        <f t="shared" si="69"/>
        <v>0.25739811723300593</v>
      </c>
      <c r="G329" s="39">
        <f t="shared" si="70"/>
        <v>2.13586170667055E-3</v>
      </c>
      <c r="I329" s="38"/>
    </row>
    <row r="330" spans="1:9" x14ac:dyDescent="0.2">
      <c r="A330" s="1">
        <v>7.8959999999999999</v>
      </c>
      <c r="B330" s="15">
        <v>1225.567164</v>
      </c>
      <c r="C330" s="15">
        <v>115.3283582</v>
      </c>
      <c r="D330" s="15">
        <v>10.662351409999999</v>
      </c>
      <c r="E330" s="39">
        <f t="shared" si="71"/>
        <v>226.89658759646167</v>
      </c>
      <c r="F330" s="39">
        <f t="shared" si="69"/>
        <v>0.25809815595850349</v>
      </c>
      <c r="G330" s="39">
        <f t="shared" si="70"/>
        <v>2.1442216443785089E-3</v>
      </c>
      <c r="I330" s="38"/>
    </row>
    <row r="331" spans="1:9" x14ac:dyDescent="0.2">
      <c r="A331" s="1">
        <v>7.92</v>
      </c>
      <c r="B331" s="15">
        <v>1214.3478259999999</v>
      </c>
      <c r="C331" s="15">
        <v>114.0869565</v>
      </c>
      <c r="D331" s="15">
        <v>10.675554910000001</v>
      </c>
      <c r="E331" s="39">
        <f t="shared" si="71"/>
        <v>226.76233777885787</v>
      </c>
      <c r="F331" s="39">
        <f t="shared" ref="F331:F340" si="72" xml:space="preserve"> E331^2*(1/SQRT(C331)-1/SQRT(B331))/(H$7*SQRT(11*69))</f>
        <v>0.25549939217315776</v>
      </c>
      <c r="G331" s="39">
        <f t="shared" ref="G331:G340" si="73" xml:space="preserve"> E331*(1/SQRT(C331)+1/SQRT(B331))/(H$7*SQRT(11*69))</f>
        <v>2.1227199336943709E-3</v>
      </c>
      <c r="I331" s="38"/>
    </row>
    <row r="332" spans="1:9" x14ac:dyDescent="0.2">
      <c r="A332" s="1">
        <v>7.944</v>
      </c>
      <c r="B332" s="15">
        <v>1201.478261</v>
      </c>
      <c r="C332" s="15">
        <v>112.7101449</v>
      </c>
      <c r="D332" s="15">
        <v>10.69153251</v>
      </c>
      <c r="E332" s="39">
        <f t="shared" si="71"/>
        <v>226.60031531686298</v>
      </c>
      <c r="F332" s="39">
        <f t="shared" si="72"/>
        <v>0.25677230174150761</v>
      </c>
      <c r="G332" s="39">
        <f t="shared" si="73"/>
        <v>2.1337475894393316E-3</v>
      </c>
      <c r="I332" s="38"/>
    </row>
    <row r="333" spans="1:9" x14ac:dyDescent="0.2">
      <c r="A333" s="1">
        <v>7.968</v>
      </c>
      <c r="B333" s="15">
        <v>1189.4927540000001</v>
      </c>
      <c r="C333" s="15">
        <v>111.26086960000001</v>
      </c>
      <c r="D333" s="15">
        <v>10.706084130000001</v>
      </c>
      <c r="E333" s="39">
        <f t="shared" si="71"/>
        <v>226.45316459165289</v>
      </c>
      <c r="F333" s="39">
        <f t="shared" si="72"/>
        <v>0.2582697262647759</v>
      </c>
      <c r="G333" s="39">
        <f t="shared" si="73"/>
        <v>2.1454718406873291E-3</v>
      </c>
      <c r="I333" s="38"/>
    </row>
    <row r="334" spans="1:9" x14ac:dyDescent="0.2">
      <c r="A334" s="1">
        <v>7.992</v>
      </c>
      <c r="B334" s="15">
        <v>1177.7826090000001</v>
      </c>
      <c r="C334" s="15">
        <v>109.8695652</v>
      </c>
      <c r="D334" s="15">
        <v>10.72092196</v>
      </c>
      <c r="E334" s="39">
        <f t="shared" si="71"/>
        <v>226.30352167405482</v>
      </c>
      <c r="F334" s="39">
        <f t="shared" si="72"/>
        <v>0.25971019402134976</v>
      </c>
      <c r="G334" s="39">
        <f t="shared" si="73"/>
        <v>2.1569074357990154E-3</v>
      </c>
      <c r="I334" s="38"/>
    </row>
    <row r="335" spans="1:9" x14ac:dyDescent="0.2">
      <c r="A335" s="1">
        <v>8.016</v>
      </c>
      <c r="B335" s="15">
        <v>1166.231884</v>
      </c>
      <c r="C335" s="15">
        <v>108.4057971</v>
      </c>
      <c r="D335" s="15">
        <v>10.731599900000001</v>
      </c>
      <c r="E335" s="39">
        <f t="shared" si="71"/>
        <v>226.19608240540913</v>
      </c>
      <c r="F335" s="39">
        <f t="shared" si="72"/>
        <v>0.2614135924198463</v>
      </c>
      <c r="G335" s="39">
        <f t="shared" si="73"/>
        <v>2.1694874678990883E-3</v>
      </c>
      <c r="I335" s="38"/>
    </row>
    <row r="336" spans="1:9" x14ac:dyDescent="0.2">
      <c r="A336" s="1">
        <v>8.0399999999999991</v>
      </c>
      <c r="B336" s="15">
        <v>1153.971014</v>
      </c>
      <c r="C336" s="15">
        <v>106.8985507</v>
      </c>
      <c r="D336" s="15">
        <v>10.74475595</v>
      </c>
      <c r="E336" s="39">
        <f t="shared" si="71"/>
        <v>226.06399574799227</v>
      </c>
      <c r="F336" s="39">
        <f t="shared" si="72"/>
        <v>0.26314047860133577</v>
      </c>
      <c r="G336" s="39">
        <f t="shared" si="73"/>
        <v>2.1825780275639686E-3</v>
      </c>
      <c r="I336" s="38"/>
    </row>
    <row r="337" spans="1:9" x14ac:dyDescent="0.2">
      <c r="A337" s="1">
        <v>8.0640000000000001</v>
      </c>
      <c r="B337" s="15">
        <v>1141.3478259999999</v>
      </c>
      <c r="C337" s="15">
        <v>105.7101449</v>
      </c>
      <c r="D337" s="15">
        <v>10.761837890000001</v>
      </c>
      <c r="E337" s="39">
        <f t="shared" si="71"/>
        <v>225.89296379834568</v>
      </c>
      <c r="F337" s="39">
        <f t="shared" si="72"/>
        <v>0.26422564275743732</v>
      </c>
      <c r="G337" s="39">
        <f t="shared" si="73"/>
        <v>2.1931055117033809E-3</v>
      </c>
      <c r="I337" s="38"/>
    </row>
    <row r="338" spans="1:9" x14ac:dyDescent="0.2">
      <c r="A338" s="1">
        <v>8.0879999999999992</v>
      </c>
      <c r="B338" s="15">
        <v>1130.666667</v>
      </c>
      <c r="C338" s="15">
        <v>104.73913039999999</v>
      </c>
      <c r="D338" s="15">
        <v>10.783086490000001</v>
      </c>
      <c r="E338" s="39">
        <f t="shared" si="71"/>
        <v>225.68095172694944</v>
      </c>
      <c r="F338" s="39">
        <f t="shared" si="72"/>
        <v>0.26493946384975314</v>
      </c>
      <c r="G338" s="39">
        <f t="shared" si="73"/>
        <v>2.2012248848133071E-3</v>
      </c>
      <c r="I338" s="38"/>
    </row>
    <row r="339" spans="1:9" x14ac:dyDescent="0.2">
      <c r="A339" s="1">
        <v>8.1120000000000001</v>
      </c>
      <c r="B339" s="15">
        <v>1119.608696</v>
      </c>
      <c r="C339" s="15">
        <v>103.7246377</v>
      </c>
      <c r="D339" s="15">
        <v>10.80429303</v>
      </c>
      <c r="E339" s="39">
        <f t="shared" si="71"/>
        <v>225.47017069791528</v>
      </c>
      <c r="F339" s="39">
        <f t="shared" si="72"/>
        <v>0.26572934499307432</v>
      </c>
      <c r="G339" s="39">
        <f t="shared" si="73"/>
        <v>2.2099219662926146E-3</v>
      </c>
      <c r="I339" s="38"/>
    </row>
    <row r="340" spans="1:9" x14ac:dyDescent="0.2">
      <c r="A340" s="1">
        <v>8.1359999999999992</v>
      </c>
      <c r="B340" s="15">
        <v>1108.681159</v>
      </c>
      <c r="C340" s="15">
        <v>102.9710145</v>
      </c>
      <c r="D340" s="15">
        <v>10.82742217</v>
      </c>
      <c r="E340" s="39">
        <f t="shared" si="71"/>
        <v>225.24119831178368</v>
      </c>
      <c r="F340" s="39">
        <f t="shared" si="72"/>
        <v>0.26601197644966851</v>
      </c>
      <c r="G340" s="39">
        <f t="shared" si="73"/>
        <v>2.2163925865474883E-3</v>
      </c>
      <c r="I340" s="38"/>
    </row>
    <row r="341" spans="1:9" x14ac:dyDescent="0.2">
      <c r="A341" s="1">
        <v>8.16</v>
      </c>
      <c r="B341" s="15">
        <v>1100.0563380000001</v>
      </c>
      <c r="C341" s="15">
        <v>102.1267606</v>
      </c>
      <c r="D341" s="15">
        <v>10.853282950000001</v>
      </c>
      <c r="E341" s="39">
        <f t="shared" si="71"/>
        <v>224.98631004835408</v>
      </c>
      <c r="F341" s="39">
        <f t="shared" ref="F341:F350" si="74" xml:space="preserve"> E341^2*(1/SQRT(C341)-1/SQRT(B341))/(H$7*SQRT(11*71))</f>
        <v>0.2627489935333594</v>
      </c>
      <c r="G341" s="39">
        <f t="shared" ref="G341:G350" si="75" xml:space="preserve"> E341*(1/SQRT(C341)+1/SQRT(B341))/(H$7*SQRT(11*71))</f>
        <v>2.1913744294577162E-3</v>
      </c>
      <c r="I341" s="38"/>
    </row>
    <row r="342" spans="1:9" x14ac:dyDescent="0.2">
      <c r="A342" s="1">
        <v>8.1839999999999993</v>
      </c>
      <c r="B342" s="15">
        <v>1089.4507040000001</v>
      </c>
      <c r="C342" s="15">
        <v>100.5774648</v>
      </c>
      <c r="D342" s="15">
        <v>10.875672639999999</v>
      </c>
      <c r="E342" s="39">
        <f t="shared" si="71"/>
        <v>224.76658745311468</v>
      </c>
      <c r="F342" s="39">
        <f t="shared" si="74"/>
        <v>0.26457177351843891</v>
      </c>
      <c r="G342" s="39">
        <f t="shared" si="75"/>
        <v>2.2045911734064451E-3</v>
      </c>
      <c r="I342" s="38"/>
    </row>
    <row r="343" spans="1:9" x14ac:dyDescent="0.2">
      <c r="A343" s="1">
        <v>8.2080000000000002</v>
      </c>
      <c r="B343" s="15">
        <v>1078.9295770000001</v>
      </c>
      <c r="C343" s="15">
        <v>99.042253520000003</v>
      </c>
      <c r="D343" s="15">
        <v>10.90089847</v>
      </c>
      <c r="E343" s="39">
        <f t="shared" si="71"/>
        <v>224.52008536365634</v>
      </c>
      <c r="F343" s="39">
        <f t="shared" si="74"/>
        <v>0.26635905865999188</v>
      </c>
      <c r="G343" s="39">
        <f t="shared" si="75"/>
        <v>2.2177092767028074E-3</v>
      </c>
      <c r="I343" s="38"/>
    </row>
    <row r="344" spans="1:9" x14ac:dyDescent="0.2">
      <c r="A344" s="1">
        <v>8.2319999999999993</v>
      </c>
      <c r="B344" s="15">
        <v>1067.042254</v>
      </c>
      <c r="C344" s="15">
        <v>97.676056340000002</v>
      </c>
      <c r="D344" s="15">
        <v>10.92754579</v>
      </c>
      <c r="E344" s="39">
        <f t="shared" si="71"/>
        <v>224.26089597716503</v>
      </c>
      <c r="F344" s="39">
        <f t="shared" si="74"/>
        <v>0.26775985481627496</v>
      </c>
      <c r="G344" s="39">
        <f t="shared" si="75"/>
        <v>2.2298584414132783E-3</v>
      </c>
      <c r="I344" s="38"/>
    </row>
    <row r="345" spans="1:9" x14ac:dyDescent="0.2">
      <c r="A345" s="1">
        <v>8.2560000000000002</v>
      </c>
      <c r="B345" s="15">
        <v>1056.309859</v>
      </c>
      <c r="C345" s="15">
        <v>96.253521129999996</v>
      </c>
      <c r="D345" s="15">
        <v>10.956969750000001</v>
      </c>
      <c r="E345" s="39">
        <f t="shared" si="71"/>
        <v>223.97612402195659</v>
      </c>
      <c r="F345" s="39">
        <f t="shared" si="74"/>
        <v>0.26931254145843853</v>
      </c>
      <c r="G345" s="39">
        <f t="shared" si="75"/>
        <v>2.2422359799391181E-3</v>
      </c>
      <c r="I345" s="38"/>
    </row>
    <row r="346" spans="1:9" x14ac:dyDescent="0.2">
      <c r="A346" s="1">
        <v>8.2799999999999994</v>
      </c>
      <c r="B346" s="15">
        <v>1046.8591550000001</v>
      </c>
      <c r="C346" s="15">
        <v>94.802816899999996</v>
      </c>
      <c r="D346" s="15">
        <v>10.98883887</v>
      </c>
      <c r="E346" s="39">
        <f t="shared" si="71"/>
        <v>223.66935994420245</v>
      </c>
      <c r="F346" s="39">
        <f t="shared" si="74"/>
        <v>0.27098458134187903</v>
      </c>
      <c r="G346" s="39">
        <f t="shared" si="75"/>
        <v>2.2546130511949297E-3</v>
      </c>
      <c r="I346" s="38"/>
    </row>
    <row r="347" spans="1:9" x14ac:dyDescent="0.2">
      <c r="A347" s="1">
        <v>8.3040000000000003</v>
      </c>
      <c r="B347" s="15">
        <v>1035.5492959999999</v>
      </c>
      <c r="C347" s="15">
        <v>93.788732390000007</v>
      </c>
      <c r="D347" s="15">
        <v>11.02294884</v>
      </c>
      <c r="E347" s="39">
        <f t="shared" si="71"/>
        <v>223.34293557187701</v>
      </c>
      <c r="F347" s="39">
        <f t="shared" si="74"/>
        <v>0.27164469218144766</v>
      </c>
      <c r="G347" s="39">
        <f t="shared" si="75"/>
        <v>2.2634893447887462E-3</v>
      </c>
      <c r="I347" s="38"/>
    </row>
    <row r="348" spans="1:9" x14ac:dyDescent="0.2">
      <c r="A348" s="1">
        <v>8.3279999999999994</v>
      </c>
      <c r="B348" s="15">
        <v>1024.6197179999999</v>
      </c>
      <c r="C348" s="15">
        <v>92.521126760000001</v>
      </c>
      <c r="D348" s="15">
        <v>11.054889579999999</v>
      </c>
      <c r="E348" s="39">
        <f t="shared" si="71"/>
        <v>223.03904352569904</v>
      </c>
      <c r="F348" s="39">
        <f t="shared" si="74"/>
        <v>0.27293129739178029</v>
      </c>
      <c r="G348" s="39">
        <f t="shared" si="75"/>
        <v>2.2750530745209714E-3</v>
      </c>
      <c r="I348" s="38"/>
    </row>
    <row r="349" spans="1:9" x14ac:dyDescent="0.2">
      <c r="A349" s="1">
        <v>8.3520000000000003</v>
      </c>
      <c r="B349" s="15">
        <v>1014.647887</v>
      </c>
      <c r="C349" s="15">
        <v>91.507042249999998</v>
      </c>
      <c r="D349" s="15">
        <v>11.08585107</v>
      </c>
      <c r="E349" s="39">
        <f t="shared" si="71"/>
        <v>222.74609017624229</v>
      </c>
      <c r="F349" s="39">
        <f t="shared" si="74"/>
        <v>0.27379194009343233</v>
      </c>
      <c r="G349" s="39">
        <f t="shared" si="75"/>
        <v>2.2842922412285829E-3</v>
      </c>
      <c r="I349" s="38"/>
    </row>
    <row r="350" spans="1:9" x14ac:dyDescent="0.2">
      <c r="A350" s="1">
        <v>8.3759999999999994</v>
      </c>
      <c r="B350" s="15">
        <v>1004.352113</v>
      </c>
      <c r="C350" s="15">
        <v>90.338028170000001</v>
      </c>
      <c r="D350" s="15">
        <v>11.117138089999999</v>
      </c>
      <c r="E350" s="39">
        <f t="shared" si="71"/>
        <v>222.45166409260472</v>
      </c>
      <c r="F350" s="39">
        <f t="shared" si="74"/>
        <v>0.27498644568322017</v>
      </c>
      <c r="G350" s="39">
        <f t="shared" si="75"/>
        <v>2.2952813826387104E-3</v>
      </c>
      <c r="I350" s="38"/>
    </row>
    <row r="351" spans="1:9" x14ac:dyDescent="0.2">
      <c r="A351" s="1">
        <v>8.4</v>
      </c>
      <c r="B351" s="15">
        <v>995.54794519999996</v>
      </c>
      <c r="C351" s="15">
        <v>89.547945209999995</v>
      </c>
      <c r="D351" s="15">
        <v>11.14804097</v>
      </c>
      <c r="E351" s="39">
        <f t="shared" si="71"/>
        <v>222.16242512557776</v>
      </c>
      <c r="F351" s="39">
        <f t="shared" ref="F351:F360" si="76" xml:space="preserve"> E351^2*(1/SQRT(C351)-1/SQRT(B351))/(H$7*SQRT(11*73))</f>
        <v>0.27167803515751887</v>
      </c>
      <c r="G351" s="39">
        <f t="shared" ref="G351:G360" si="77" xml:space="preserve"> E351*(1/SQRT(C351)+1/SQRT(B351))/(H$7*SQRT(11*73))</f>
        <v>2.2706340031758642E-3</v>
      </c>
      <c r="I351" s="38"/>
    </row>
    <row r="352" spans="1:9" x14ac:dyDescent="0.2">
      <c r="A352" s="1">
        <v>8.4239999999999995</v>
      </c>
      <c r="B352" s="15">
        <v>984.72602740000002</v>
      </c>
      <c r="C352" s="15">
        <v>88.342465750000002</v>
      </c>
      <c r="D352" s="15">
        <v>11.17318186</v>
      </c>
      <c r="E352" s="39">
        <f t="shared" si="71"/>
        <v>221.92825927733995</v>
      </c>
      <c r="F352" s="39">
        <f t="shared" si="76"/>
        <v>0.2731023246929582</v>
      </c>
      <c r="G352" s="39">
        <f t="shared" si="77"/>
        <v>2.2829732503526841E-3</v>
      </c>
      <c r="I352" s="38"/>
    </row>
    <row r="353" spans="1:9" x14ac:dyDescent="0.2">
      <c r="A353" s="1">
        <v>8.4480000000000004</v>
      </c>
      <c r="B353" s="15">
        <v>974.4794521</v>
      </c>
      <c r="C353" s="15">
        <v>87.136986300000004</v>
      </c>
      <c r="D353" s="15">
        <v>11.195533599999999</v>
      </c>
      <c r="E353" s="39">
        <f t="shared" si="71"/>
        <v>221.72092685500391</v>
      </c>
      <c r="F353" s="39">
        <f t="shared" si="76"/>
        <v>0.27466365155488276</v>
      </c>
      <c r="G353" s="39">
        <f t="shared" si="77"/>
        <v>2.2956959134781368E-3</v>
      </c>
      <c r="I353" s="38"/>
    </row>
    <row r="354" spans="1:9" x14ac:dyDescent="0.2">
      <c r="A354" s="1">
        <v>8.4719999999999995</v>
      </c>
      <c r="B354" s="15">
        <v>964.60273970000003</v>
      </c>
      <c r="C354" s="15">
        <v>85.863013699999996</v>
      </c>
      <c r="D354" s="15">
        <v>11.217504290000001</v>
      </c>
      <c r="E354" s="39">
        <f t="shared" si="71"/>
        <v>221.51790811397532</v>
      </c>
      <c r="F354" s="39">
        <f t="shared" si="76"/>
        <v>0.27645451886938399</v>
      </c>
      <c r="G354" s="39">
        <f t="shared" si="77"/>
        <v>2.3093402380695571E-3</v>
      </c>
      <c r="I354" s="38"/>
    </row>
    <row r="355" spans="1:9" x14ac:dyDescent="0.2">
      <c r="A355" s="1">
        <v>8.4960000000000004</v>
      </c>
      <c r="B355" s="15">
        <v>955.65753419999999</v>
      </c>
      <c r="C355" s="15">
        <v>84.808219179999995</v>
      </c>
      <c r="D355" s="15">
        <v>11.23716939</v>
      </c>
      <c r="E355" s="39">
        <f t="shared" si="71"/>
        <v>221.33684517215593</v>
      </c>
      <c r="F355" s="39">
        <f t="shared" si="76"/>
        <v>0.27789343813670675</v>
      </c>
      <c r="G355" s="39">
        <f t="shared" si="77"/>
        <v>2.3209462706960007E-3</v>
      </c>
      <c r="I355" s="38"/>
    </row>
    <row r="356" spans="1:9" x14ac:dyDescent="0.2">
      <c r="A356" s="1">
        <v>8.52</v>
      </c>
      <c r="B356" s="15">
        <v>946.67123289999995</v>
      </c>
      <c r="C356" s="15">
        <v>83.671232880000005</v>
      </c>
      <c r="D356" s="15">
        <v>11.25279134</v>
      </c>
      <c r="E356" s="39">
        <f t="shared" si="71"/>
        <v>221.19344486644067</v>
      </c>
      <c r="F356" s="39">
        <f t="shared" si="76"/>
        <v>0.27965256891179191</v>
      </c>
      <c r="G356" s="39">
        <f t="shared" si="77"/>
        <v>2.334064434589046E-3</v>
      </c>
      <c r="I356" s="38"/>
    </row>
    <row r="357" spans="1:9" x14ac:dyDescent="0.2">
      <c r="A357" s="1">
        <v>8.5440000000000005</v>
      </c>
      <c r="B357" s="15">
        <v>936.53424659999996</v>
      </c>
      <c r="C357" s="15">
        <v>82.73972603</v>
      </c>
      <c r="D357" s="15">
        <v>11.26928846</v>
      </c>
      <c r="E357" s="39">
        <f t="shared" si="71"/>
        <v>221.04242812105861</v>
      </c>
      <c r="F357" s="39">
        <f t="shared" si="76"/>
        <v>0.28086401470687022</v>
      </c>
      <c r="G357" s="39">
        <f t="shared" si="77"/>
        <v>2.3454484921023367E-3</v>
      </c>
      <c r="I357" s="38"/>
    </row>
    <row r="358" spans="1:9" x14ac:dyDescent="0.2">
      <c r="A358" s="1">
        <v>8.5679999999999996</v>
      </c>
      <c r="B358" s="15">
        <v>927.71232880000002</v>
      </c>
      <c r="C358" s="15">
        <v>82.191780820000005</v>
      </c>
      <c r="D358" s="15">
        <v>11.282441070000001</v>
      </c>
      <c r="E358" s="39">
        <f t="shared" si="71"/>
        <v>220.92233312989907</v>
      </c>
      <c r="F358" s="39">
        <f t="shared" si="76"/>
        <v>0.28132456884409046</v>
      </c>
      <c r="G358" s="39">
        <f t="shared" si="77"/>
        <v>2.3527354650422667E-3</v>
      </c>
      <c r="I358" s="38"/>
    </row>
    <row r="359" spans="1:9" x14ac:dyDescent="0.2">
      <c r="A359" s="1">
        <v>8.5920000000000005</v>
      </c>
      <c r="B359" s="15">
        <v>918.46575340000004</v>
      </c>
      <c r="C359" s="15">
        <v>81.164383560000005</v>
      </c>
      <c r="D359" s="15">
        <v>11.29191887</v>
      </c>
      <c r="E359" s="39">
        <f t="shared" si="71"/>
        <v>220.83595992634326</v>
      </c>
      <c r="F359" s="39">
        <f t="shared" si="76"/>
        <v>0.28303163636545287</v>
      </c>
      <c r="G359" s="39">
        <f t="shared" si="77"/>
        <v>2.3659588520053799E-3</v>
      </c>
      <c r="I359" s="38"/>
    </row>
    <row r="360" spans="1:9" x14ac:dyDescent="0.2">
      <c r="A360" s="1">
        <v>8.6159999999999997</v>
      </c>
      <c r="B360" s="15">
        <v>909.78082189999998</v>
      </c>
      <c r="C360" s="15">
        <v>80.479452050000006</v>
      </c>
      <c r="D360" s="15">
        <v>11.29850562</v>
      </c>
      <c r="E360" s="39">
        <f t="shared" si="71"/>
        <v>220.77601589052256</v>
      </c>
      <c r="F360" s="39">
        <f t="shared" si="76"/>
        <v>0.28401750956444621</v>
      </c>
      <c r="G360" s="39">
        <f t="shared" si="77"/>
        <v>2.3756398657249099E-3</v>
      </c>
      <c r="I360" s="38"/>
    </row>
    <row r="361" spans="1:9" x14ac:dyDescent="0.2">
      <c r="A361" s="1">
        <v>8.64</v>
      </c>
      <c r="B361" s="15">
        <v>901.96</v>
      </c>
      <c r="C361" s="15">
        <v>79.893333330000004</v>
      </c>
      <c r="D361" s="15">
        <v>11.300535930000001</v>
      </c>
      <c r="E361" s="39">
        <f t="shared" si="71"/>
        <v>220.75755225199148</v>
      </c>
      <c r="F361" s="39">
        <f t="shared" ref="F361:F370" si="78" xml:space="preserve"> E361^2*(1/SQRT(C361)-1/SQRT(B361))/(H$7*SQRT(11*75))</f>
        <v>0.28110510519739318</v>
      </c>
      <c r="G361" s="39">
        <f t="shared" ref="G361:G370" si="79" xml:space="preserve"> E361*(1/SQRT(C361)+1/SQRT(B361))/(H$7*SQRT(11*75))</f>
        <v>2.3524924754124233E-3</v>
      </c>
      <c r="I361" s="38"/>
    </row>
    <row r="362" spans="1:9" x14ac:dyDescent="0.2">
      <c r="A362" s="1">
        <v>8.6639999999999997</v>
      </c>
      <c r="B362" s="15">
        <v>892.46666670000002</v>
      </c>
      <c r="C362" s="15">
        <v>78.986666670000005</v>
      </c>
      <c r="D362" s="15">
        <v>11.303196399999999</v>
      </c>
      <c r="E362" s="39">
        <f t="shared" si="71"/>
        <v>220.73336763217426</v>
      </c>
      <c r="F362" s="39">
        <f t="shared" si="78"/>
        <v>0.28270175938437064</v>
      </c>
      <c r="G362" s="39">
        <f t="shared" si="79"/>
        <v>2.3654708028445163E-3</v>
      </c>
      <c r="I362" s="38"/>
    </row>
    <row r="363" spans="1:9" x14ac:dyDescent="0.2">
      <c r="A363" s="1">
        <v>8.6880000000000006</v>
      </c>
      <c r="B363" s="15">
        <v>882.53333329999998</v>
      </c>
      <c r="C363" s="15">
        <v>78.16</v>
      </c>
      <c r="D363" s="15">
        <v>11.304894259999999</v>
      </c>
      <c r="E363" s="39">
        <f t="shared" si="71"/>
        <v>220.71793922447668</v>
      </c>
      <c r="F363" s="39">
        <f t="shared" si="78"/>
        <v>0.28411269993979449</v>
      </c>
      <c r="G363" s="39">
        <f t="shared" si="79"/>
        <v>2.3779640959529949E-3</v>
      </c>
      <c r="I363" s="38"/>
    </row>
    <row r="364" spans="1:9" x14ac:dyDescent="0.2">
      <c r="A364" s="1">
        <v>8.7119999999999997</v>
      </c>
      <c r="B364" s="15">
        <v>873.50666669999998</v>
      </c>
      <c r="C364" s="15">
        <v>77.386666669999997</v>
      </c>
      <c r="D364" s="15">
        <v>11.31000566</v>
      </c>
      <c r="E364" s="39">
        <f t="shared" si="71"/>
        <v>220.67151906626472</v>
      </c>
      <c r="F364" s="39">
        <f t="shared" si="78"/>
        <v>0.28538827181030635</v>
      </c>
      <c r="G364" s="39">
        <f t="shared" si="79"/>
        <v>2.3894059943698519E-3</v>
      </c>
      <c r="I364" s="38"/>
    </row>
    <row r="365" spans="1:9" x14ac:dyDescent="0.2">
      <c r="A365" s="1">
        <v>8.7360000000000007</v>
      </c>
      <c r="B365" s="15">
        <v>864.73333330000003</v>
      </c>
      <c r="C365" s="15">
        <v>76.48</v>
      </c>
      <c r="D365" s="15">
        <v>11.31453074</v>
      </c>
      <c r="E365" s="39">
        <f t="shared" si="71"/>
        <v>220.63045747062608</v>
      </c>
      <c r="F365" s="39">
        <f t="shared" si="78"/>
        <v>0.28707085253780762</v>
      </c>
      <c r="G365" s="39">
        <f t="shared" si="79"/>
        <v>2.4026144256715579E-3</v>
      </c>
      <c r="I365" s="38"/>
    </row>
    <row r="366" spans="1:9" x14ac:dyDescent="0.2">
      <c r="A366" s="1">
        <v>8.76</v>
      </c>
      <c r="B366" s="15">
        <v>856.29333329999997</v>
      </c>
      <c r="C366" s="15">
        <v>75.84</v>
      </c>
      <c r="D366" s="15">
        <v>11.3174679</v>
      </c>
      <c r="E366" s="39">
        <f t="shared" si="71"/>
        <v>220.60382198065494</v>
      </c>
      <c r="F366" s="39">
        <f t="shared" si="78"/>
        <v>0.28812426163445665</v>
      </c>
      <c r="G366" s="39">
        <f t="shared" si="79"/>
        <v>2.4128280135112343E-3</v>
      </c>
      <c r="I366" s="38"/>
    </row>
    <row r="367" spans="1:9" x14ac:dyDescent="0.2">
      <c r="A367" s="1">
        <v>8.7840000000000007</v>
      </c>
      <c r="B367" s="15">
        <v>847.73333330000003</v>
      </c>
      <c r="C367" s="15">
        <v>74.733333329999994</v>
      </c>
      <c r="D367" s="15">
        <v>11.321971939999999</v>
      </c>
      <c r="E367" s="39">
        <f t="shared" si="71"/>
        <v>220.56300322515682</v>
      </c>
      <c r="F367" s="39">
        <f t="shared" si="78"/>
        <v>0.29042797805778631</v>
      </c>
      <c r="G367" s="39">
        <f t="shared" si="79"/>
        <v>2.428882328315474E-3</v>
      </c>
      <c r="I367" s="38"/>
    </row>
    <row r="368" spans="1:9" x14ac:dyDescent="0.2">
      <c r="A368" s="1">
        <v>8.8079999999999998</v>
      </c>
      <c r="B368" s="15">
        <v>839.29333329999997</v>
      </c>
      <c r="C368" s="15">
        <v>74.026666669999997</v>
      </c>
      <c r="D368" s="15">
        <v>11.329379339999999</v>
      </c>
      <c r="E368" s="39">
        <f t="shared" si="71"/>
        <v>220.49594030580053</v>
      </c>
      <c r="F368" s="39">
        <f t="shared" si="78"/>
        <v>0.29160238691311746</v>
      </c>
      <c r="G368" s="39">
        <f t="shared" si="79"/>
        <v>2.439847008763481E-3</v>
      </c>
      <c r="I368" s="38"/>
    </row>
    <row r="369" spans="1:17" x14ac:dyDescent="0.2">
      <c r="A369" s="1">
        <v>8.8320000000000007</v>
      </c>
      <c r="B369" s="15">
        <v>832</v>
      </c>
      <c r="C369" s="15">
        <v>73.346666670000005</v>
      </c>
      <c r="D369" s="15">
        <v>11.338722990000001</v>
      </c>
      <c r="E369" s="39">
        <f t="shared" si="71"/>
        <v>220.4114681261606</v>
      </c>
      <c r="F369" s="39">
        <f t="shared" si="78"/>
        <v>0.29275752340994676</v>
      </c>
      <c r="G369" s="39">
        <f t="shared" si="79"/>
        <v>2.4500514612175715E-3</v>
      </c>
      <c r="I369" s="38"/>
    </row>
    <row r="370" spans="1:17" x14ac:dyDescent="0.2">
      <c r="A370" s="1">
        <v>8.8559999999999999</v>
      </c>
      <c r="B370" s="15">
        <v>823.8</v>
      </c>
      <c r="C370" s="15">
        <v>72.48</v>
      </c>
      <c r="D370" s="15">
        <v>11.35039138</v>
      </c>
      <c r="E370" s="39">
        <f t="shared" si="71"/>
        <v>220.30616730304453</v>
      </c>
      <c r="F370" s="39">
        <f t="shared" si="78"/>
        <v>0.29434434581764263</v>
      </c>
      <c r="G370" s="39">
        <f t="shared" si="79"/>
        <v>2.4629199214777518E-3</v>
      </c>
      <c r="I370" s="38"/>
    </row>
    <row r="371" spans="1:17" x14ac:dyDescent="0.2">
      <c r="A371" s="1">
        <v>8.8800000000000008</v>
      </c>
      <c r="B371" s="15">
        <v>816.54545450000001</v>
      </c>
      <c r="C371" s="15">
        <v>72.02597403</v>
      </c>
      <c r="D371" s="15">
        <v>11.36119242</v>
      </c>
      <c r="E371" s="39">
        <f t="shared" si="71"/>
        <v>220.20887977646606</v>
      </c>
      <c r="F371" s="39">
        <f t="shared" ref="F371:F380" si="80" xml:space="preserve"> E371^2*(1/SQRT(C371)-1/SQRT(B371))/(H$7*SQRT(11*77))</f>
        <v>0.29099603651037126</v>
      </c>
      <c r="G371" s="39">
        <f t="shared" ref="G371:G380" si="81" xml:space="preserve"> E371*(1/SQRT(C371)+1/SQRT(B371))/(H$7*SQRT(11*77))</f>
        <v>2.4380103997606243E-3</v>
      </c>
      <c r="I371" s="38"/>
    </row>
    <row r="372" spans="1:17" x14ac:dyDescent="0.2">
      <c r="A372" s="1">
        <v>8.9039999999999999</v>
      </c>
      <c r="B372" s="15">
        <v>809.0519481</v>
      </c>
      <c r="C372" s="15">
        <v>71.350649349999998</v>
      </c>
      <c r="D372" s="15">
        <v>11.37441516</v>
      </c>
      <c r="E372" s="39">
        <f t="shared" si="71"/>
        <v>220.09002199562991</v>
      </c>
      <c r="F372" s="39">
        <f t="shared" si="80"/>
        <v>0.29206677876883286</v>
      </c>
      <c r="G372" s="39">
        <f t="shared" si="81"/>
        <v>2.4481425124639306E-3</v>
      </c>
      <c r="I372" s="38"/>
    </row>
    <row r="373" spans="1:17" x14ac:dyDescent="0.2">
      <c r="A373" s="1">
        <v>8.9280000000000008</v>
      </c>
      <c r="B373" s="15">
        <v>802.24675319999994</v>
      </c>
      <c r="C373" s="15">
        <v>70.493506490000001</v>
      </c>
      <c r="D373" s="15">
        <v>11.38456674</v>
      </c>
      <c r="E373" s="39">
        <f t="shared" si="71"/>
        <v>219.99895116510083</v>
      </c>
      <c r="F373" s="39">
        <f t="shared" si="80"/>
        <v>0.29381937822456022</v>
      </c>
      <c r="G373" s="39">
        <f t="shared" si="81"/>
        <v>2.460937343586021E-3</v>
      </c>
      <c r="I373" s="38"/>
    </row>
    <row r="374" spans="1:17" x14ac:dyDescent="0.2">
      <c r="A374" s="1">
        <v>8.952</v>
      </c>
      <c r="B374" s="15">
        <v>794.03896099999997</v>
      </c>
      <c r="C374" s="15">
        <v>69.688311690000006</v>
      </c>
      <c r="D374" s="15">
        <v>11.39545229</v>
      </c>
      <c r="E374" s="39">
        <f t="shared" si="71"/>
        <v>219.90146958441599</v>
      </c>
      <c r="F374" s="39">
        <f t="shared" si="80"/>
        <v>0.2953249878353108</v>
      </c>
      <c r="G374" s="39">
        <f t="shared" si="81"/>
        <v>2.4736763864556064E-3</v>
      </c>
      <c r="I374" s="38"/>
    </row>
    <row r="375" spans="1:17" x14ac:dyDescent="0.2">
      <c r="A375" s="1">
        <v>8.9760000000000009</v>
      </c>
      <c r="B375" s="15">
        <v>786.36363640000002</v>
      </c>
      <c r="C375" s="15">
        <v>68.883116880000003</v>
      </c>
      <c r="D375" s="15">
        <v>11.40268738</v>
      </c>
      <c r="E375" s="39">
        <f t="shared" si="71"/>
        <v>219.83677759351013</v>
      </c>
      <c r="F375" s="39">
        <f t="shared" si="80"/>
        <v>0.29699047883895691</v>
      </c>
      <c r="G375" s="39">
        <f t="shared" si="81"/>
        <v>2.486818032905552E-3</v>
      </c>
      <c r="I375" s="38"/>
    </row>
    <row r="376" spans="1:17" s="17" customFormat="1" x14ac:dyDescent="0.2">
      <c r="A376" s="20">
        <v>9</v>
      </c>
      <c r="B376" s="21">
        <v>779.45454549999999</v>
      </c>
      <c r="C376" s="21">
        <v>68.220779219999997</v>
      </c>
      <c r="D376" s="21">
        <v>11.409749720000001</v>
      </c>
      <c r="E376" s="45">
        <f t="shared" si="71"/>
        <v>219.77370647590823</v>
      </c>
      <c r="F376" s="45">
        <f t="shared" si="80"/>
        <v>0.29830994390072418</v>
      </c>
      <c r="G376" s="45">
        <f t="shared" si="81"/>
        <v>2.4979051840080856E-3</v>
      </c>
      <c r="H376" s="46"/>
      <c r="I376" s="36"/>
      <c r="J376" s="37"/>
      <c r="K376" s="25"/>
      <c r="L376" s="25"/>
      <c r="M376" s="22"/>
      <c r="N376" s="22"/>
      <c r="P376" s="21"/>
      <c r="Q376" s="18"/>
    </row>
    <row r="377" spans="1:17" x14ac:dyDescent="0.2">
      <c r="A377" s="1">
        <v>9.0239999999999991</v>
      </c>
      <c r="B377" s="15">
        <v>772.1688312</v>
      </c>
      <c r="C377" s="15">
        <v>67.519480520000002</v>
      </c>
      <c r="D377" s="15">
        <v>11.41920683</v>
      </c>
      <c r="E377" s="39">
        <f t="shared" si="71"/>
        <v>219.68936626829702</v>
      </c>
      <c r="F377" s="39">
        <f t="shared" si="80"/>
        <v>0.29968432712409093</v>
      </c>
      <c r="G377" s="39">
        <f t="shared" si="81"/>
        <v>2.5096107076071909E-3</v>
      </c>
      <c r="I377" s="38"/>
    </row>
    <row r="378" spans="1:17" x14ac:dyDescent="0.2">
      <c r="A378" s="1">
        <v>9.048</v>
      </c>
      <c r="B378" s="15">
        <v>765.55844160000004</v>
      </c>
      <c r="C378" s="15">
        <v>66.831168829999996</v>
      </c>
      <c r="D378" s="15">
        <v>11.42601848</v>
      </c>
      <c r="E378" s="39">
        <f t="shared" si="71"/>
        <v>219.6287020625048</v>
      </c>
      <c r="F378" s="39">
        <f t="shared" si="80"/>
        <v>0.30116147324965553</v>
      </c>
      <c r="G378" s="39">
        <f t="shared" si="81"/>
        <v>2.521330314426379E-3</v>
      </c>
      <c r="I378" s="38"/>
    </row>
    <row r="379" spans="1:17" x14ac:dyDescent="0.2">
      <c r="A379" s="1">
        <v>9.0719999999999992</v>
      </c>
      <c r="B379" s="15">
        <v>757.23376619999999</v>
      </c>
      <c r="C379" s="15">
        <v>66.090909089999997</v>
      </c>
      <c r="D379" s="15">
        <v>11.43011357</v>
      </c>
      <c r="E379" s="39">
        <f t="shared" si="71"/>
        <v>219.59226491712153</v>
      </c>
      <c r="F379" s="39">
        <f t="shared" si="80"/>
        <v>0.30275590004090791</v>
      </c>
      <c r="G379" s="39">
        <f t="shared" si="81"/>
        <v>2.5349313972136992E-3</v>
      </c>
      <c r="I379" s="38"/>
    </row>
    <row r="380" spans="1:17" x14ac:dyDescent="0.2">
      <c r="A380" s="1">
        <v>9.0960000000000001</v>
      </c>
      <c r="B380" s="15">
        <v>750.20779219999997</v>
      </c>
      <c r="C380" s="15">
        <v>65.675324680000003</v>
      </c>
      <c r="D380" s="15">
        <v>11.436268330000001</v>
      </c>
      <c r="E380" s="39">
        <f t="shared" si="71"/>
        <v>219.53754857928618</v>
      </c>
      <c r="F380" s="39">
        <f t="shared" si="80"/>
        <v>0.30336899894782954</v>
      </c>
      <c r="G380" s="39">
        <f t="shared" si="81"/>
        <v>2.5431798267963276E-3</v>
      </c>
      <c r="I380" s="38"/>
    </row>
    <row r="381" spans="1:17" x14ac:dyDescent="0.2">
      <c r="A381" s="1">
        <v>9.1199999999999992</v>
      </c>
      <c r="B381" s="15">
        <v>744.556962</v>
      </c>
      <c r="C381" s="15">
        <v>65.063291140000004</v>
      </c>
      <c r="D381" s="15">
        <v>11.443249550000001</v>
      </c>
      <c r="E381" s="39">
        <f t="shared" si="71"/>
        <v>219.47555354198602</v>
      </c>
      <c r="F381" s="39">
        <f t="shared" ref="F381:F390" si="82" xml:space="preserve"> E381^2*(1/SQRT(C381)-1/SQRT(B381))/(H$7*SQRT(11*79))</f>
        <v>0.30085353138244614</v>
      </c>
      <c r="G381" s="39">
        <f t="shared" ref="G381:G390" si="83" xml:space="preserve"> E381*(1/SQRT(C381)+1/SQRT(B381))/(H$7*SQRT(11*79))</f>
        <v>2.5213319284186275E-3</v>
      </c>
      <c r="I381" s="38"/>
    </row>
    <row r="382" spans="1:17" x14ac:dyDescent="0.2">
      <c r="A382" s="1">
        <v>9.1440000000000001</v>
      </c>
      <c r="B382" s="15">
        <v>738.15189869999995</v>
      </c>
      <c r="C382" s="15">
        <v>64.518987339999995</v>
      </c>
      <c r="D382" s="15">
        <v>11.451595559999999</v>
      </c>
      <c r="E382" s="39">
        <f t="shared" si="71"/>
        <v>219.40153431984743</v>
      </c>
      <c r="F382" s="39">
        <f t="shared" si="82"/>
        <v>0.30190103979794813</v>
      </c>
      <c r="G382" s="39">
        <f t="shared" si="83"/>
        <v>2.5311600339838142E-3</v>
      </c>
      <c r="I382" s="38"/>
    </row>
    <row r="383" spans="1:17" x14ac:dyDescent="0.2">
      <c r="A383" s="1">
        <v>9.1679999999999993</v>
      </c>
      <c r="B383" s="15">
        <v>729.34177220000004</v>
      </c>
      <c r="C383" s="15">
        <v>63.898734179999998</v>
      </c>
      <c r="D383" s="15">
        <v>11.45741119</v>
      </c>
      <c r="E383" s="39">
        <f t="shared" si="71"/>
        <v>219.35001793900182</v>
      </c>
      <c r="F383" s="39">
        <f t="shared" si="82"/>
        <v>0.30307085072030288</v>
      </c>
      <c r="G383" s="39">
        <f t="shared" si="83"/>
        <v>2.5434992632227707E-3</v>
      </c>
      <c r="I383" s="38"/>
    </row>
    <row r="384" spans="1:17" x14ac:dyDescent="0.2">
      <c r="A384" s="1">
        <v>9.1920000000000002</v>
      </c>
      <c r="B384" s="15">
        <v>721.97468349999997</v>
      </c>
      <c r="C384" s="15">
        <v>63.189873419999998</v>
      </c>
      <c r="D384" s="15">
        <v>11.462272240000001</v>
      </c>
      <c r="E384" s="39">
        <f t="shared" si="71"/>
        <v>219.3069960838607</v>
      </c>
      <c r="F384" s="39">
        <f t="shared" si="82"/>
        <v>0.30471071520892828</v>
      </c>
      <c r="G384" s="39">
        <f t="shared" si="83"/>
        <v>2.5569313815356387E-3</v>
      </c>
      <c r="I384" s="38"/>
    </row>
    <row r="385" spans="1:9" x14ac:dyDescent="0.2">
      <c r="A385" s="1">
        <v>9.2159999999999993</v>
      </c>
      <c r="B385" s="15">
        <v>714.98734179999997</v>
      </c>
      <c r="C385" s="15">
        <v>62.379746840000003</v>
      </c>
      <c r="D385" s="15">
        <v>11.46683936</v>
      </c>
      <c r="E385" s="39">
        <f t="shared" si="71"/>
        <v>219.26660758821424</v>
      </c>
      <c r="F385" s="39">
        <f t="shared" si="82"/>
        <v>0.30677453900503937</v>
      </c>
      <c r="G385" s="39">
        <f t="shared" si="83"/>
        <v>2.5720746048983134E-3</v>
      </c>
      <c r="I385" s="38"/>
    </row>
    <row r="386" spans="1:9" x14ac:dyDescent="0.2">
      <c r="A386" s="1">
        <v>9.24</v>
      </c>
      <c r="B386" s="15">
        <v>708.03797469999995</v>
      </c>
      <c r="C386" s="15">
        <v>61.607594939999998</v>
      </c>
      <c r="D386" s="15">
        <v>11.47432847</v>
      </c>
      <c r="E386" s="39">
        <f t="shared" si="71"/>
        <v>219.20044596877523</v>
      </c>
      <c r="F386" s="39">
        <f t="shared" si="82"/>
        <v>0.30867847217558608</v>
      </c>
      <c r="G386" s="39">
        <f t="shared" si="83"/>
        <v>2.5865693624560859E-3</v>
      </c>
      <c r="I386" s="38"/>
    </row>
    <row r="387" spans="1:9" x14ac:dyDescent="0.2">
      <c r="A387" s="1">
        <v>9.2639999999999993</v>
      </c>
      <c r="B387" s="15">
        <v>700.36708859999999</v>
      </c>
      <c r="C387" s="15">
        <v>60.810126580000002</v>
      </c>
      <c r="D387" s="15">
        <v>11.48010322</v>
      </c>
      <c r="E387" s="39">
        <f t="shared" ref="E387:E450" si="84" xml:space="preserve"> H$7/(LN(D387)-H$4)</f>
        <v>219.14948636583074</v>
      </c>
      <c r="F387" s="39">
        <f t="shared" si="82"/>
        <v>0.31069012671701124</v>
      </c>
      <c r="G387" s="39">
        <f t="shared" si="83"/>
        <v>2.6022363043718922E-3</v>
      </c>
      <c r="I387" s="38"/>
    </row>
    <row r="388" spans="1:9" x14ac:dyDescent="0.2">
      <c r="A388" s="1">
        <v>9.2880000000000003</v>
      </c>
      <c r="B388" s="15">
        <v>694.37974680000002</v>
      </c>
      <c r="C388" s="15">
        <v>60.379746840000003</v>
      </c>
      <c r="D388" s="15">
        <v>11.486442869999999</v>
      </c>
      <c r="E388" s="39">
        <f t="shared" si="84"/>
        <v>219.09359853615163</v>
      </c>
      <c r="F388" s="39">
        <f t="shared" si="82"/>
        <v>0.31153986078471169</v>
      </c>
      <c r="G388" s="39">
        <f t="shared" si="83"/>
        <v>2.6112688480246747E-3</v>
      </c>
      <c r="I388" s="38"/>
    </row>
    <row r="389" spans="1:9" x14ac:dyDescent="0.2">
      <c r="A389" s="1">
        <v>9.3119999999999994</v>
      </c>
      <c r="B389" s="15">
        <v>687.45569620000003</v>
      </c>
      <c r="C389" s="15">
        <v>59.734177219999999</v>
      </c>
      <c r="D389" s="15">
        <v>11.49410207</v>
      </c>
      <c r="E389" s="39">
        <f t="shared" si="84"/>
        <v>219.02615718406926</v>
      </c>
      <c r="F389" s="39">
        <f t="shared" si="82"/>
        <v>0.3130736279020393</v>
      </c>
      <c r="G389" s="39">
        <f t="shared" si="83"/>
        <v>2.6243158254603285E-3</v>
      </c>
      <c r="I389" s="38"/>
    </row>
    <row r="390" spans="1:9" x14ac:dyDescent="0.2">
      <c r="A390" s="1">
        <v>9.3360000000000003</v>
      </c>
      <c r="B390" s="15">
        <v>681.4303797</v>
      </c>
      <c r="C390" s="15">
        <v>59.215189870000003</v>
      </c>
      <c r="D390" s="15">
        <v>11.49866695</v>
      </c>
      <c r="E390" s="39">
        <f t="shared" si="84"/>
        <v>218.98600326598651</v>
      </c>
      <c r="F390" s="39">
        <f t="shared" si="82"/>
        <v>0.31432224639696327</v>
      </c>
      <c r="G390" s="39">
        <f t="shared" si="83"/>
        <v>2.635330949264669E-3</v>
      </c>
      <c r="I390" s="38"/>
    </row>
    <row r="391" spans="1:9" x14ac:dyDescent="0.2">
      <c r="A391" s="1">
        <v>9.36</v>
      </c>
      <c r="B391" s="15">
        <v>675.97530859999995</v>
      </c>
      <c r="C391" s="15">
        <v>58.753086420000002</v>
      </c>
      <c r="D391" s="15">
        <v>11.50136736</v>
      </c>
      <c r="E391" s="39">
        <f t="shared" si="84"/>
        <v>218.96226416043723</v>
      </c>
      <c r="F391" s="39">
        <f t="shared" ref="F391:F400" si="85" xml:space="preserve"> E391^2*(1/SQRT(C391)-1/SQRT(B391))/(H$7*SQRT(11*81))</f>
        <v>0.31155503369231358</v>
      </c>
      <c r="G391" s="39">
        <f t="shared" ref="G391:G400" si="86" xml:space="preserve"> E391*(1/SQRT(C391)+1/SQRT(B391))/(H$7*SQRT(11*81))</f>
        <v>2.6125847014962372E-3</v>
      </c>
      <c r="I391" s="38"/>
    </row>
    <row r="392" spans="1:9" x14ac:dyDescent="0.2">
      <c r="A392" s="1">
        <v>9.3840000000000003</v>
      </c>
      <c r="B392" s="15">
        <v>670.11111110000002</v>
      </c>
      <c r="C392" s="15">
        <v>58.234567900000002</v>
      </c>
      <c r="D392" s="15">
        <v>11.50375352</v>
      </c>
      <c r="E392" s="39">
        <f t="shared" si="84"/>
        <v>218.94129652306063</v>
      </c>
      <c r="F392" s="39">
        <f t="shared" si="85"/>
        <v>0.31288897761110984</v>
      </c>
      <c r="G392" s="39">
        <f t="shared" si="86"/>
        <v>2.6238935478756849E-3</v>
      </c>
      <c r="I392" s="38"/>
    </row>
    <row r="393" spans="1:9" x14ac:dyDescent="0.2">
      <c r="A393" s="1">
        <v>9.4079999999999995</v>
      </c>
      <c r="B393" s="15">
        <v>664.62962960000004</v>
      </c>
      <c r="C393" s="15">
        <v>57.74074074</v>
      </c>
      <c r="D393" s="15">
        <v>11.50465775</v>
      </c>
      <c r="E393" s="39">
        <f t="shared" si="84"/>
        <v>218.93335306901275</v>
      </c>
      <c r="F393" s="39">
        <f t="shared" si="85"/>
        <v>0.31422118457748371</v>
      </c>
      <c r="G393" s="39">
        <f t="shared" si="86"/>
        <v>2.6349037281347535E-3</v>
      </c>
      <c r="I393" s="38"/>
    </row>
    <row r="394" spans="1:9" x14ac:dyDescent="0.2">
      <c r="A394" s="1">
        <v>9.4320000000000004</v>
      </c>
      <c r="B394" s="15">
        <v>658.95061729999998</v>
      </c>
      <c r="C394" s="15">
        <v>57.308641979999997</v>
      </c>
      <c r="D394" s="15">
        <v>11.50890392</v>
      </c>
      <c r="E394" s="39">
        <f t="shared" si="84"/>
        <v>218.8960674869916</v>
      </c>
      <c r="F394" s="39">
        <f t="shared" si="85"/>
        <v>0.31522562781705754</v>
      </c>
      <c r="G394" s="39">
        <f t="shared" si="86"/>
        <v>2.6446901215453982E-3</v>
      </c>
      <c r="I394" s="38"/>
    </row>
    <row r="395" spans="1:9" x14ac:dyDescent="0.2">
      <c r="A395" s="1">
        <v>9.4559999999999995</v>
      </c>
      <c r="B395" s="15">
        <v>652.83950619999996</v>
      </c>
      <c r="C395" s="15">
        <v>56.888888889999997</v>
      </c>
      <c r="D395" s="15">
        <v>11.516429909999999</v>
      </c>
      <c r="E395" s="39">
        <f t="shared" si="84"/>
        <v>218.83004678728963</v>
      </c>
      <c r="F395" s="39">
        <f t="shared" si="85"/>
        <v>0.31606555450238594</v>
      </c>
      <c r="G395" s="39">
        <f t="shared" si="86"/>
        <v>2.6542228116854883E-3</v>
      </c>
      <c r="I395" s="38"/>
    </row>
    <row r="396" spans="1:9" x14ac:dyDescent="0.2">
      <c r="A396" s="1">
        <v>9.48</v>
      </c>
      <c r="B396" s="15">
        <v>646.79012350000005</v>
      </c>
      <c r="C396" s="15">
        <v>56.283950619999999</v>
      </c>
      <c r="D396" s="15">
        <v>11.524845880000001</v>
      </c>
      <c r="E396" s="39">
        <f t="shared" si="84"/>
        <v>218.75631704341123</v>
      </c>
      <c r="F396" s="39">
        <f t="shared" si="85"/>
        <v>0.3176372738666024</v>
      </c>
      <c r="G396" s="39">
        <f t="shared" si="86"/>
        <v>2.667129660217885E-3</v>
      </c>
      <c r="I396" s="38"/>
    </row>
    <row r="397" spans="1:9" x14ac:dyDescent="0.2">
      <c r="A397" s="1">
        <v>9.5039999999999996</v>
      </c>
      <c r="B397" s="15">
        <v>641.50617279999994</v>
      </c>
      <c r="C397" s="15">
        <v>55.691358020000003</v>
      </c>
      <c r="D397" s="15">
        <v>11.53556916</v>
      </c>
      <c r="E397" s="39">
        <f t="shared" si="84"/>
        <v>218.66252348558189</v>
      </c>
      <c r="F397" s="39">
        <f t="shared" si="85"/>
        <v>0.31920783154477833</v>
      </c>
      <c r="G397" s="39">
        <f t="shared" si="86"/>
        <v>2.6794059847431158E-3</v>
      </c>
      <c r="I397" s="38"/>
    </row>
    <row r="398" spans="1:9" x14ac:dyDescent="0.2">
      <c r="A398" s="1">
        <v>9.5280000000000005</v>
      </c>
      <c r="B398" s="15">
        <v>635.13580249999995</v>
      </c>
      <c r="C398" s="15">
        <v>55.09876543</v>
      </c>
      <c r="D398" s="15">
        <v>11.550825769999999</v>
      </c>
      <c r="E398" s="39">
        <f t="shared" si="84"/>
        <v>218.52936659562786</v>
      </c>
      <c r="F398" s="39">
        <f t="shared" si="85"/>
        <v>0.32057709873526213</v>
      </c>
      <c r="G398" s="39">
        <f t="shared" si="86"/>
        <v>2.6919158566133328E-3</v>
      </c>
      <c r="I398" s="38"/>
    </row>
    <row r="399" spans="1:9" x14ac:dyDescent="0.2">
      <c r="A399" s="1">
        <v>9.5519999999999996</v>
      </c>
      <c r="B399" s="15">
        <v>628.95061729999998</v>
      </c>
      <c r="C399" s="15">
        <v>54.469135799999997</v>
      </c>
      <c r="D399" s="15">
        <v>11.565815750000001</v>
      </c>
      <c r="E399" s="39">
        <f t="shared" si="84"/>
        <v>218.39886553111785</v>
      </c>
      <c r="F399" s="39">
        <f t="shared" si="85"/>
        <v>0.32215434301375839</v>
      </c>
      <c r="G399" s="39">
        <f t="shared" si="86"/>
        <v>2.7052875630453077E-3</v>
      </c>
      <c r="I399" s="38"/>
    </row>
    <row r="400" spans="1:9" x14ac:dyDescent="0.2">
      <c r="A400" s="1">
        <v>9.5760000000000005</v>
      </c>
      <c r="B400" s="15">
        <v>623.35802469999999</v>
      </c>
      <c r="C400" s="15">
        <v>53.777777780000001</v>
      </c>
      <c r="D400" s="15">
        <v>11.58371131</v>
      </c>
      <c r="E400" s="39">
        <f t="shared" si="84"/>
        <v>218.24349364661552</v>
      </c>
      <c r="F400" s="39">
        <f t="shared" si="85"/>
        <v>0.32401648047710324</v>
      </c>
      <c r="G400" s="39">
        <f t="shared" si="86"/>
        <v>2.7194972189518774E-3</v>
      </c>
      <c r="I400" s="38"/>
    </row>
    <row r="401" spans="1:9" x14ac:dyDescent="0.2">
      <c r="A401" s="1">
        <v>9.6</v>
      </c>
      <c r="B401" s="15">
        <v>618.1686747</v>
      </c>
      <c r="C401" s="15">
        <v>53.289156630000001</v>
      </c>
      <c r="D401" s="15">
        <v>11.60708228</v>
      </c>
      <c r="E401" s="39">
        <f t="shared" si="84"/>
        <v>218.04127612281147</v>
      </c>
      <c r="F401" s="39">
        <f t="shared" ref="F401:F410" si="87" xml:space="preserve"> E401^2*(1/SQRT(C401)-1/SQRT(B401))/(H$7*SQRT(11*83))</f>
        <v>0.32100862512231282</v>
      </c>
      <c r="G401" s="39">
        <f t="shared" ref="G401:G410" si="88" xml:space="preserve"> E401*(1/SQRT(C401)+1/SQRT(B401))/(H$7*SQRT(11*83))</f>
        <v>2.6960854253249089E-3</v>
      </c>
      <c r="I401" s="38"/>
    </row>
    <row r="402" spans="1:9" x14ac:dyDescent="0.2">
      <c r="A402" s="1">
        <v>9.6240000000000006</v>
      </c>
      <c r="B402" s="15">
        <v>612.67469879999999</v>
      </c>
      <c r="C402" s="15">
        <v>52.710843369999999</v>
      </c>
      <c r="D402" s="15">
        <v>11.63204105</v>
      </c>
      <c r="E402" s="39">
        <f t="shared" si="84"/>
        <v>217.82618133258777</v>
      </c>
      <c r="F402" s="39">
        <f t="shared" si="87"/>
        <v>0.32226107377826785</v>
      </c>
      <c r="G402" s="39">
        <f t="shared" si="88"/>
        <v>2.7075512497292519E-3</v>
      </c>
      <c r="I402" s="38"/>
    </row>
    <row r="403" spans="1:9" x14ac:dyDescent="0.2">
      <c r="A403" s="1">
        <v>9.6479999999999997</v>
      </c>
      <c r="B403" s="15">
        <v>607.51807229999997</v>
      </c>
      <c r="C403" s="15">
        <v>52.036144579999998</v>
      </c>
      <c r="D403" s="15">
        <v>11.65416664</v>
      </c>
      <c r="E403" s="39">
        <f t="shared" si="84"/>
        <v>217.63624195357789</v>
      </c>
      <c r="F403" s="39">
        <f t="shared" si="87"/>
        <v>0.3240755305230632</v>
      </c>
      <c r="G403" s="39">
        <f t="shared" si="88"/>
        <v>2.7213052011136173E-3</v>
      </c>
      <c r="I403" s="38"/>
    </row>
    <row r="404" spans="1:9" x14ac:dyDescent="0.2">
      <c r="A404" s="1">
        <v>9.6720000000000006</v>
      </c>
      <c r="B404" s="15">
        <v>601.63855420000004</v>
      </c>
      <c r="C404" s="15">
        <v>51.530120480000001</v>
      </c>
      <c r="D404" s="15">
        <v>11.679180329999999</v>
      </c>
      <c r="E404" s="39">
        <f t="shared" si="84"/>
        <v>217.42234048403463</v>
      </c>
      <c r="F404" s="39">
        <f t="shared" si="87"/>
        <v>0.32502617493837926</v>
      </c>
      <c r="G404" s="39">
        <f t="shared" si="88"/>
        <v>2.7319318820265177E-3</v>
      </c>
      <c r="I404" s="38"/>
    </row>
    <row r="405" spans="1:9" x14ac:dyDescent="0.2">
      <c r="A405" s="1">
        <v>9.6959999999999997</v>
      </c>
      <c r="B405" s="15">
        <v>595.74698799999999</v>
      </c>
      <c r="C405" s="15">
        <v>50.939759039999998</v>
      </c>
      <c r="D405" s="15">
        <v>11.70372497</v>
      </c>
      <c r="E405" s="39">
        <f t="shared" si="84"/>
        <v>217.21330191081464</v>
      </c>
      <c r="F405" s="39">
        <f t="shared" si="87"/>
        <v>0.32638936482527819</v>
      </c>
      <c r="G405" s="39">
        <f t="shared" si="88"/>
        <v>2.7445528033487421E-3</v>
      </c>
      <c r="I405" s="38"/>
    </row>
    <row r="406" spans="1:9" x14ac:dyDescent="0.2">
      <c r="A406" s="1">
        <v>9.7200000000000006</v>
      </c>
      <c r="B406" s="15">
        <v>590.87951810000004</v>
      </c>
      <c r="C406" s="15">
        <v>50.361445779999997</v>
      </c>
      <c r="D406" s="15">
        <v>11.724513249999999</v>
      </c>
      <c r="E406" s="39">
        <f t="shared" si="84"/>
        <v>217.03691085878333</v>
      </c>
      <c r="F406" s="39">
        <f t="shared" si="87"/>
        <v>0.32794256580053122</v>
      </c>
      <c r="G406" s="39">
        <f t="shared" si="88"/>
        <v>2.757022555852797E-3</v>
      </c>
      <c r="I406" s="38"/>
    </row>
    <row r="407" spans="1:9" x14ac:dyDescent="0.2">
      <c r="A407" s="1">
        <v>9.7439999999999998</v>
      </c>
      <c r="B407" s="15">
        <v>585.46987950000005</v>
      </c>
      <c r="C407" s="15">
        <v>49.759036139999999</v>
      </c>
      <c r="D407" s="15">
        <v>11.74415694</v>
      </c>
      <c r="E407" s="39">
        <f t="shared" si="84"/>
        <v>216.87078133192503</v>
      </c>
      <c r="F407" s="39">
        <f t="shared" si="87"/>
        <v>0.32960933096271566</v>
      </c>
      <c r="G407" s="39">
        <f t="shared" si="88"/>
        <v>2.7706506742062424E-3</v>
      </c>
      <c r="I407" s="38"/>
    </row>
    <row r="408" spans="1:9" x14ac:dyDescent="0.2">
      <c r="A408" s="1">
        <v>9.7680000000000007</v>
      </c>
      <c r="B408" s="15">
        <v>580.18072289999998</v>
      </c>
      <c r="C408" s="15">
        <v>49.325301199999998</v>
      </c>
      <c r="D408" s="15">
        <v>11.759850549999999</v>
      </c>
      <c r="E408" s="39">
        <f t="shared" si="84"/>
        <v>216.73844000524397</v>
      </c>
      <c r="F408" s="39">
        <f t="shared" si="87"/>
        <v>0.33062964471384287</v>
      </c>
      <c r="G408" s="39">
        <f t="shared" si="88"/>
        <v>2.7812080202614746E-3</v>
      </c>
      <c r="I408" s="38"/>
    </row>
    <row r="409" spans="1:9" x14ac:dyDescent="0.2">
      <c r="A409" s="1">
        <v>9.7919999999999998</v>
      </c>
      <c r="B409" s="15">
        <v>574.9036145</v>
      </c>
      <c r="C409" s="15">
        <v>48.710843369999999</v>
      </c>
      <c r="D409" s="15">
        <v>11.77359556</v>
      </c>
      <c r="E409" s="39">
        <f t="shared" si="84"/>
        <v>216.62280822821606</v>
      </c>
      <c r="F409" s="39">
        <f t="shared" si="87"/>
        <v>0.33258577467828654</v>
      </c>
      <c r="G409" s="39">
        <f t="shared" si="88"/>
        <v>2.7961295033861375E-3</v>
      </c>
      <c r="I409" s="38"/>
    </row>
    <row r="410" spans="1:9" x14ac:dyDescent="0.2">
      <c r="A410" s="1">
        <v>9.8160000000000007</v>
      </c>
      <c r="B410" s="15">
        <v>569.20481930000005</v>
      </c>
      <c r="C410" s="15">
        <v>48.168674699999997</v>
      </c>
      <c r="D410" s="15">
        <v>11.78900625</v>
      </c>
      <c r="E410" s="39">
        <f t="shared" si="84"/>
        <v>216.49347045505922</v>
      </c>
      <c r="F410" s="39">
        <f t="shared" si="87"/>
        <v>0.3341373841863266</v>
      </c>
      <c r="G410" s="39">
        <f t="shared" si="88"/>
        <v>2.8097529894503663E-3</v>
      </c>
      <c r="I410" s="38"/>
    </row>
    <row r="411" spans="1:9" x14ac:dyDescent="0.2">
      <c r="A411" s="1">
        <v>9.84</v>
      </c>
      <c r="B411" s="15">
        <v>564.85882349999997</v>
      </c>
      <c r="C411" s="15">
        <v>47.788235290000003</v>
      </c>
      <c r="D411" s="15">
        <v>11.79959139</v>
      </c>
      <c r="E411" s="39">
        <f t="shared" si="84"/>
        <v>216.40481943501467</v>
      </c>
      <c r="F411" s="39">
        <f t="shared" ref="F411:F420" si="89" xml:space="preserve"> E411^2*(1/SQRT(C411)-1/SQRT(B411))/(H$7*SQRT(11*85))</f>
        <v>0.33124120332024121</v>
      </c>
      <c r="G411" s="39">
        <f t="shared" ref="G411:G420" si="90" xml:space="preserve"> E411*(1/SQRT(C411)+1/SQRT(B411))/(H$7*SQRT(11*85))</f>
        <v>2.7863055540459395E-3</v>
      </c>
      <c r="I411" s="38"/>
    </row>
    <row r="412" spans="1:9" x14ac:dyDescent="0.2">
      <c r="A412" s="1">
        <v>9.8640000000000008</v>
      </c>
      <c r="B412" s="15">
        <v>559.4</v>
      </c>
      <c r="C412" s="15">
        <v>47.341176470000001</v>
      </c>
      <c r="D412" s="15">
        <v>11.8123988</v>
      </c>
      <c r="E412" s="39">
        <f t="shared" si="84"/>
        <v>216.29775993653732</v>
      </c>
      <c r="F412" s="39">
        <f t="shared" si="89"/>
        <v>0.33245105854254209</v>
      </c>
      <c r="G412" s="39">
        <f t="shared" si="90"/>
        <v>2.7981440923467585E-3</v>
      </c>
      <c r="I412" s="38"/>
    </row>
    <row r="413" spans="1:9" x14ac:dyDescent="0.2">
      <c r="A413" s="1">
        <v>9.8879999999999999</v>
      </c>
      <c r="B413" s="15">
        <v>554.27058820000002</v>
      </c>
      <c r="C413" s="15">
        <v>46.988235289999999</v>
      </c>
      <c r="D413" s="15">
        <v>11.821642239999999</v>
      </c>
      <c r="E413" s="39">
        <f t="shared" si="84"/>
        <v>216.22063011847644</v>
      </c>
      <c r="F413" s="39">
        <f t="shared" si="89"/>
        <v>0.33334105234719569</v>
      </c>
      <c r="G413" s="39">
        <f t="shared" si="90"/>
        <v>2.8081787844993064E-3</v>
      </c>
      <c r="I413" s="38"/>
    </row>
    <row r="414" spans="1:9" x14ac:dyDescent="0.2">
      <c r="A414" s="1">
        <v>9.9120000000000008</v>
      </c>
      <c r="B414" s="15">
        <v>549.70588239999995</v>
      </c>
      <c r="C414" s="15">
        <v>46.482352939999998</v>
      </c>
      <c r="D414" s="15">
        <v>11.83570493</v>
      </c>
      <c r="E414" s="39">
        <f t="shared" si="84"/>
        <v>216.10350801868358</v>
      </c>
      <c r="F414" s="39">
        <f t="shared" si="89"/>
        <v>0.33496264218593136</v>
      </c>
      <c r="G414" s="39">
        <f t="shared" si="90"/>
        <v>2.8210768186732425E-3</v>
      </c>
      <c r="I414" s="38"/>
    </row>
    <row r="415" spans="1:9" x14ac:dyDescent="0.2">
      <c r="A415" s="1">
        <v>9.9359999999999999</v>
      </c>
      <c r="B415" s="15">
        <v>543.89411759999996</v>
      </c>
      <c r="C415" s="15">
        <v>45.91764706</v>
      </c>
      <c r="D415" s="15">
        <v>11.84474473</v>
      </c>
      <c r="E415" s="39">
        <f t="shared" si="84"/>
        <v>216.0283597504953</v>
      </c>
      <c r="F415" s="39">
        <f t="shared" si="89"/>
        <v>0.33689176531209852</v>
      </c>
      <c r="G415" s="39">
        <f t="shared" si="90"/>
        <v>2.8368745322744967E-3</v>
      </c>
      <c r="I415" s="38"/>
    </row>
    <row r="416" spans="1:9" x14ac:dyDescent="0.2">
      <c r="A416" s="1">
        <v>9.9600000000000009</v>
      </c>
      <c r="B416" s="15">
        <v>538.3294118</v>
      </c>
      <c r="C416" s="15">
        <v>45.57647059</v>
      </c>
      <c r="D416" s="15">
        <v>11.85259411</v>
      </c>
      <c r="E416" s="39">
        <f t="shared" si="84"/>
        <v>215.96319634094851</v>
      </c>
      <c r="F416" s="39">
        <f t="shared" si="89"/>
        <v>0.33775068628499827</v>
      </c>
      <c r="G416" s="39">
        <f t="shared" si="90"/>
        <v>2.8475201767006373E-3</v>
      </c>
      <c r="I416" s="38"/>
    </row>
    <row r="417" spans="1:9" x14ac:dyDescent="0.2">
      <c r="A417" s="1">
        <v>9.984</v>
      </c>
      <c r="B417" s="15">
        <v>532.91764709999995</v>
      </c>
      <c r="C417" s="15">
        <v>44.882352939999997</v>
      </c>
      <c r="D417" s="15">
        <v>11.855435719999999</v>
      </c>
      <c r="E417" s="39">
        <f t="shared" si="84"/>
        <v>215.93962639454668</v>
      </c>
      <c r="F417" s="39">
        <f t="shared" si="89"/>
        <v>0.34064368229746134</v>
      </c>
      <c r="G417" s="39">
        <f t="shared" si="90"/>
        <v>2.8674482903979933E-3</v>
      </c>
      <c r="I417" s="38"/>
    </row>
    <row r="418" spans="1:9" x14ac:dyDescent="0.2">
      <c r="A418" s="1">
        <v>10.007999999999999</v>
      </c>
      <c r="B418" s="15">
        <v>526.92941180000003</v>
      </c>
      <c r="C418" s="15">
        <v>44.4</v>
      </c>
      <c r="D418" s="15">
        <v>11.85879669</v>
      </c>
      <c r="E418" s="39">
        <f t="shared" si="84"/>
        <v>215.91176250701392</v>
      </c>
      <c r="F418" s="39">
        <f t="shared" si="89"/>
        <v>0.34236598721398409</v>
      </c>
      <c r="G418" s="39">
        <f t="shared" si="90"/>
        <v>2.8827704329680653E-3</v>
      </c>
      <c r="I418" s="38"/>
    </row>
    <row r="419" spans="1:9" x14ac:dyDescent="0.2">
      <c r="A419" s="1">
        <v>10.032</v>
      </c>
      <c r="B419" s="15">
        <v>522.10588240000004</v>
      </c>
      <c r="C419" s="15">
        <v>43.811764709999999</v>
      </c>
      <c r="D419" s="15">
        <v>11.86355363</v>
      </c>
      <c r="E419" s="39">
        <f t="shared" si="84"/>
        <v>215.87235120507009</v>
      </c>
      <c r="F419" s="39">
        <f t="shared" si="89"/>
        <v>0.34482234173774318</v>
      </c>
      <c r="G419" s="39">
        <f t="shared" si="90"/>
        <v>2.9001787047078058E-3</v>
      </c>
      <c r="I419" s="38"/>
    </row>
    <row r="420" spans="1:9" x14ac:dyDescent="0.2">
      <c r="A420" s="1">
        <v>10.055999999999999</v>
      </c>
      <c r="B420" s="15">
        <v>517.65882350000004</v>
      </c>
      <c r="C420" s="15">
        <v>43.49411765</v>
      </c>
      <c r="D420" s="15">
        <v>11.867521699999999</v>
      </c>
      <c r="E420" s="39">
        <f t="shared" si="84"/>
        <v>215.83949878633015</v>
      </c>
      <c r="F420" s="39">
        <f t="shared" si="89"/>
        <v>0.3458837391679862</v>
      </c>
      <c r="G420" s="39">
        <f t="shared" si="90"/>
        <v>2.9107244166132334E-3</v>
      </c>
      <c r="I420" s="38"/>
    </row>
    <row r="421" spans="1:9" x14ac:dyDescent="0.2">
      <c r="A421" s="1">
        <v>10.08</v>
      </c>
      <c r="B421" s="15">
        <v>513.34482760000003</v>
      </c>
      <c r="C421" s="15">
        <v>43.126436779999999</v>
      </c>
      <c r="D421" s="15">
        <v>11.86911342</v>
      </c>
      <c r="E421" s="39">
        <f t="shared" si="84"/>
        <v>215.82632652446475</v>
      </c>
      <c r="F421" s="39">
        <f t="shared" ref="F421:F430" si="91" xml:space="preserve"> E421^2*(1/SQRT(C421)-1/SQRT(B421))/(H$7*SQRT(11*87))</f>
        <v>0.34330581811474048</v>
      </c>
      <c r="G421" s="39">
        <f t="shared" ref="G421:G430" si="92" xml:space="preserve"> E421*(1/SQRT(C421)+1/SQRT(B421))/(H$7*SQRT(11*87))</f>
        <v>2.8890961375654914E-3</v>
      </c>
      <c r="I421" s="38"/>
    </row>
    <row r="422" spans="1:9" x14ac:dyDescent="0.2">
      <c r="A422" s="1">
        <v>10.103999999999999</v>
      </c>
      <c r="B422" s="15">
        <v>509.33333329999999</v>
      </c>
      <c r="C422" s="15">
        <v>42.977011490000002</v>
      </c>
      <c r="D422" s="15">
        <v>11.874280880000001</v>
      </c>
      <c r="E422" s="39">
        <f t="shared" si="84"/>
        <v>215.78358651196126</v>
      </c>
      <c r="F422" s="39">
        <f t="shared" si="91"/>
        <v>0.34345871653905402</v>
      </c>
      <c r="G422" s="39">
        <f t="shared" si="92"/>
        <v>2.894964833235637E-3</v>
      </c>
      <c r="I422" s="38"/>
    </row>
    <row r="423" spans="1:9" x14ac:dyDescent="0.2">
      <c r="A423" s="1">
        <v>10.128</v>
      </c>
      <c r="B423" s="15">
        <v>504.37931029999999</v>
      </c>
      <c r="C423" s="15">
        <v>42.551724139999997</v>
      </c>
      <c r="D423" s="15">
        <v>11.87521561</v>
      </c>
      <c r="E423" s="39">
        <f t="shared" si="84"/>
        <v>215.77585916291255</v>
      </c>
      <c r="F423" s="39">
        <f t="shared" si="91"/>
        <v>0.34515816682038974</v>
      </c>
      <c r="G423" s="39">
        <f t="shared" si="92"/>
        <v>2.9092357301778128E-3</v>
      </c>
      <c r="I423" s="38"/>
    </row>
    <row r="424" spans="1:9" x14ac:dyDescent="0.2">
      <c r="A424" s="1">
        <v>10.151999999999999</v>
      </c>
      <c r="B424" s="15">
        <v>499.94252870000003</v>
      </c>
      <c r="C424" s="15">
        <v>42.195402299999998</v>
      </c>
      <c r="D424" s="15">
        <v>11.876047639999999</v>
      </c>
      <c r="E424" s="39">
        <f t="shared" si="84"/>
        <v>215.76898180490571</v>
      </c>
      <c r="F424" s="39">
        <f t="shared" si="91"/>
        <v>0.34656011735553488</v>
      </c>
      <c r="G424" s="39">
        <f t="shared" si="92"/>
        <v>2.9215405866410949E-3</v>
      </c>
      <c r="I424" s="38"/>
    </row>
    <row r="425" spans="1:9" x14ac:dyDescent="0.2">
      <c r="A425" s="1">
        <v>10.176</v>
      </c>
      <c r="B425" s="15">
        <v>495.5287356</v>
      </c>
      <c r="C425" s="15">
        <v>41.747126440000002</v>
      </c>
      <c r="D425" s="15">
        <v>11.87385811</v>
      </c>
      <c r="E425" s="39">
        <f t="shared" si="84"/>
        <v>215.78708190423882</v>
      </c>
      <c r="F425" s="39">
        <f t="shared" si="91"/>
        <v>0.34860354858130893</v>
      </c>
      <c r="G425" s="39">
        <f t="shared" si="92"/>
        <v>2.9368315646796858E-3</v>
      </c>
      <c r="I425" s="38"/>
    </row>
    <row r="426" spans="1:9" x14ac:dyDescent="0.2">
      <c r="A426" s="1">
        <v>10.199999999999999</v>
      </c>
      <c r="B426" s="15">
        <v>490.86206900000002</v>
      </c>
      <c r="C426" s="15">
        <v>41.379310340000004</v>
      </c>
      <c r="D426" s="15">
        <v>11.87628147</v>
      </c>
      <c r="E426" s="39">
        <f t="shared" si="84"/>
        <v>215.76704918853008</v>
      </c>
      <c r="F426" s="39">
        <f t="shared" si="91"/>
        <v>0.35004060379236895</v>
      </c>
      <c r="G426" s="39">
        <f t="shared" si="92"/>
        <v>2.949784679316011E-3</v>
      </c>
      <c r="I426" s="38"/>
    </row>
    <row r="427" spans="1:9" x14ac:dyDescent="0.2">
      <c r="A427" s="1">
        <v>10.224</v>
      </c>
      <c r="B427" s="15">
        <v>486.19540230000001</v>
      </c>
      <c r="C427" s="15">
        <v>40.965517239999997</v>
      </c>
      <c r="D427" s="15">
        <v>11.877372169999999</v>
      </c>
      <c r="E427" s="39">
        <f t="shared" si="84"/>
        <v>215.75803545970422</v>
      </c>
      <c r="F427" s="39">
        <f t="shared" si="91"/>
        <v>0.35181046661361598</v>
      </c>
      <c r="G427" s="39">
        <f t="shared" si="92"/>
        <v>2.9643553009638998E-3</v>
      </c>
      <c r="I427" s="38"/>
    </row>
    <row r="428" spans="1:9" x14ac:dyDescent="0.2">
      <c r="A428" s="1">
        <v>10.247999999999999</v>
      </c>
      <c r="B428" s="15">
        <v>481.36781610000003</v>
      </c>
      <c r="C428" s="15">
        <v>40.505747130000003</v>
      </c>
      <c r="D428" s="15">
        <v>11.88440467</v>
      </c>
      <c r="E428" s="39">
        <f t="shared" si="84"/>
        <v>215.69995562540026</v>
      </c>
      <c r="F428" s="39">
        <f t="shared" si="91"/>
        <v>0.35370557571247851</v>
      </c>
      <c r="G428" s="39">
        <f t="shared" si="92"/>
        <v>2.9798908428576762E-3</v>
      </c>
      <c r="I428" s="38"/>
    </row>
    <row r="429" spans="1:9" x14ac:dyDescent="0.2">
      <c r="A429" s="1">
        <v>10.272</v>
      </c>
      <c r="B429" s="15">
        <v>476.98850570000002</v>
      </c>
      <c r="C429" s="15">
        <v>40.160919540000002</v>
      </c>
      <c r="D429" s="15">
        <v>11.88885614</v>
      </c>
      <c r="E429" s="39">
        <f t="shared" si="84"/>
        <v>215.66322584371568</v>
      </c>
      <c r="F429" s="39">
        <f t="shared" si="91"/>
        <v>0.35505705516008534</v>
      </c>
      <c r="G429" s="39">
        <f t="shared" si="92"/>
        <v>2.9923452267951256E-3</v>
      </c>
      <c r="I429" s="38"/>
    </row>
    <row r="430" spans="1:9" x14ac:dyDescent="0.2">
      <c r="A430" s="1">
        <v>10.295999999999999</v>
      </c>
      <c r="B430" s="15">
        <v>472.43678160000002</v>
      </c>
      <c r="C430" s="15">
        <v>39.724137929999998</v>
      </c>
      <c r="D430" s="15">
        <v>11.89635689</v>
      </c>
      <c r="E430" s="39">
        <f t="shared" si="84"/>
        <v>215.6013953353881</v>
      </c>
      <c r="F430" s="39">
        <f t="shared" si="91"/>
        <v>0.35689722685445691</v>
      </c>
      <c r="G430" s="39">
        <f t="shared" si="92"/>
        <v>3.0074331830402977E-3</v>
      </c>
      <c r="I430" s="38"/>
    </row>
    <row r="431" spans="1:9" x14ac:dyDescent="0.2">
      <c r="A431" s="1">
        <v>10.32</v>
      </c>
      <c r="B431" s="15">
        <v>468.4269663</v>
      </c>
      <c r="C431" s="15">
        <v>39.269662920000002</v>
      </c>
      <c r="D431" s="15">
        <v>11.90398557</v>
      </c>
      <c r="E431" s="39">
        <f t="shared" si="84"/>
        <v>215.53858656407493</v>
      </c>
      <c r="F431" s="39">
        <f t="shared" ref="F431:F440" si="93" xml:space="preserve"> E431^2*(1/SQRT(C431)-1/SQRT(B431))/(H$7*SQRT(11*89))</f>
        <v>0.35490950910547397</v>
      </c>
      <c r="G431" s="39">
        <f t="shared" ref="G431:G440" si="94" xml:space="preserve"> E431*(1/SQRT(C431)+1/SQRT(B431))/(H$7*SQRT(11*89))</f>
        <v>2.9887335941825148E-3</v>
      </c>
      <c r="I431" s="38"/>
    </row>
    <row r="432" spans="1:9" x14ac:dyDescent="0.2">
      <c r="A432" s="1">
        <v>10.343999999999999</v>
      </c>
      <c r="B432" s="15">
        <v>464.4269663</v>
      </c>
      <c r="C432" s="15">
        <v>38.97752809</v>
      </c>
      <c r="D432" s="15">
        <v>11.913033670000001</v>
      </c>
      <c r="E432" s="39">
        <f t="shared" si="84"/>
        <v>215.464190898792</v>
      </c>
      <c r="F432" s="39">
        <f t="shared" si="93"/>
        <v>0.3559107052099687</v>
      </c>
      <c r="G432" s="39">
        <f t="shared" si="94"/>
        <v>2.9992508707761493E-3</v>
      </c>
      <c r="I432" s="38"/>
    </row>
    <row r="433" spans="1:9" x14ac:dyDescent="0.2">
      <c r="A433" s="1">
        <v>10.368</v>
      </c>
      <c r="B433" s="15">
        <v>460.25842699999998</v>
      </c>
      <c r="C433" s="15">
        <v>38.584269659999997</v>
      </c>
      <c r="D433" s="15">
        <v>11.924605250000001</v>
      </c>
      <c r="E433" s="39">
        <f t="shared" si="84"/>
        <v>215.36920357379341</v>
      </c>
      <c r="F433" s="39">
        <f t="shared" si="93"/>
        <v>0.35748646103388027</v>
      </c>
      <c r="G433" s="39">
        <f t="shared" si="94"/>
        <v>3.0127872418009901E-3</v>
      </c>
      <c r="I433" s="38"/>
    </row>
    <row r="434" spans="1:9" x14ac:dyDescent="0.2">
      <c r="A434" s="1">
        <v>10.391999999999999</v>
      </c>
      <c r="B434" s="15">
        <v>455.76404489999999</v>
      </c>
      <c r="C434" s="15">
        <v>38.292134830000002</v>
      </c>
      <c r="D434" s="15">
        <v>11.939581179999999</v>
      </c>
      <c r="E434" s="39">
        <f t="shared" si="84"/>
        <v>215.24653184572617</v>
      </c>
      <c r="F434" s="39">
        <f t="shared" si="93"/>
        <v>0.35827714370638652</v>
      </c>
      <c r="G434" s="39">
        <f t="shared" si="94"/>
        <v>3.0232865125959553E-3</v>
      </c>
      <c r="I434" s="38"/>
    </row>
    <row r="435" spans="1:9" x14ac:dyDescent="0.2">
      <c r="A435" s="1">
        <v>10.416</v>
      </c>
      <c r="B435" s="15">
        <v>451.22471910000002</v>
      </c>
      <c r="C435" s="15">
        <v>37.820224719999999</v>
      </c>
      <c r="D435" s="15">
        <v>11.95374138</v>
      </c>
      <c r="E435" s="39">
        <f t="shared" si="84"/>
        <v>215.13081164888803</v>
      </c>
      <c r="F435" s="39">
        <f t="shared" si="93"/>
        <v>0.36029353423606053</v>
      </c>
      <c r="G435" s="39">
        <f t="shared" si="94"/>
        <v>3.0396381568377423E-3</v>
      </c>
      <c r="I435" s="38"/>
    </row>
    <row r="436" spans="1:9" x14ac:dyDescent="0.2">
      <c r="A436" s="1">
        <v>10.44</v>
      </c>
      <c r="B436" s="15">
        <v>446.58426969999999</v>
      </c>
      <c r="C436" s="15">
        <v>37.359550560000002</v>
      </c>
      <c r="D436" s="15">
        <v>11.96589537</v>
      </c>
      <c r="E436" s="39">
        <f t="shared" si="84"/>
        <v>215.03169492950872</v>
      </c>
      <c r="F436" s="39">
        <f t="shared" si="93"/>
        <v>0.36231559376551359</v>
      </c>
      <c r="G436" s="39">
        <f t="shared" si="94"/>
        <v>3.0562544324064453E-3</v>
      </c>
      <c r="I436" s="38"/>
    </row>
    <row r="437" spans="1:9" x14ac:dyDescent="0.2">
      <c r="A437" s="1">
        <v>10.464</v>
      </c>
      <c r="B437" s="15">
        <v>442.46067420000003</v>
      </c>
      <c r="C437" s="15">
        <v>36.98876404</v>
      </c>
      <c r="D437" s="15">
        <v>11.97552707</v>
      </c>
      <c r="E437" s="39">
        <f t="shared" si="84"/>
        <v>214.95328391435754</v>
      </c>
      <c r="F437" s="39">
        <f t="shared" si="93"/>
        <v>0.36391319366363395</v>
      </c>
      <c r="G437" s="39">
        <f t="shared" si="94"/>
        <v>3.0701742973613614E-3</v>
      </c>
      <c r="I437" s="38"/>
    </row>
    <row r="438" spans="1:9" x14ac:dyDescent="0.2">
      <c r="A438" s="1">
        <v>10.488</v>
      </c>
      <c r="B438" s="15">
        <v>438.17977530000002</v>
      </c>
      <c r="C438" s="15">
        <v>36.528089889999997</v>
      </c>
      <c r="D438" s="15">
        <v>11.98977045</v>
      </c>
      <c r="E438" s="39">
        <f t="shared" si="84"/>
        <v>214.83754962346731</v>
      </c>
      <c r="F438" s="39">
        <f t="shared" si="93"/>
        <v>0.36601544065145003</v>
      </c>
      <c r="G438" s="39">
        <f t="shared" si="94"/>
        <v>3.0868375157895801E-3</v>
      </c>
      <c r="I438" s="38"/>
    </row>
    <row r="439" spans="1:9" x14ac:dyDescent="0.2">
      <c r="A439" s="1">
        <v>10.512</v>
      </c>
      <c r="B439" s="15">
        <v>433.88764040000001</v>
      </c>
      <c r="C439" s="15">
        <v>36.01123596</v>
      </c>
      <c r="D439" s="15">
        <v>12.00496572</v>
      </c>
      <c r="E439" s="39">
        <f t="shared" si="84"/>
        <v>214.71436931325798</v>
      </c>
      <c r="F439" s="39">
        <f t="shared" si="93"/>
        <v>0.36853909436400639</v>
      </c>
      <c r="G439" s="39">
        <f t="shared" si="94"/>
        <v>3.1055959108763115E-3</v>
      </c>
      <c r="I439" s="38"/>
    </row>
    <row r="440" spans="1:9" x14ac:dyDescent="0.2">
      <c r="A440" s="1">
        <v>10.536</v>
      </c>
      <c r="B440" s="15">
        <v>430.06741570000003</v>
      </c>
      <c r="C440" s="15">
        <v>35.741573029999998</v>
      </c>
      <c r="D440" s="15">
        <v>12.021478119999999</v>
      </c>
      <c r="E440" s="39">
        <f t="shared" si="84"/>
        <v>214.58084808042273</v>
      </c>
      <c r="F440" s="39">
        <f t="shared" si="93"/>
        <v>0.36936757281963778</v>
      </c>
      <c r="G440" s="39">
        <f t="shared" si="94"/>
        <v>3.1158134544123236E-3</v>
      </c>
      <c r="I440" s="38"/>
    </row>
    <row r="441" spans="1:9" x14ac:dyDescent="0.2">
      <c r="A441" s="1">
        <v>10.56</v>
      </c>
      <c r="B441" s="15">
        <v>426.74725269999999</v>
      </c>
      <c r="C441" s="15">
        <v>35.483516479999999</v>
      </c>
      <c r="D441" s="15">
        <v>12.03863379</v>
      </c>
      <c r="E441" s="39">
        <f t="shared" si="84"/>
        <v>214.44249481429895</v>
      </c>
      <c r="F441" s="39">
        <f t="shared" ref="F441:F450" si="95" xml:space="preserve"> E441^2*(1/SQRT(C441)-1/SQRT(B441))/(H$7*SQRT(11*91))</f>
        <v>0.3661019528248502</v>
      </c>
      <c r="G441" s="39">
        <f t="shared" ref="G441:G450" si="96" xml:space="preserve"> E441*(1/SQRT(C441)+1/SQRT(B441))/(H$7*SQRT(11*91))</f>
        <v>3.0907482836349436E-3</v>
      </c>
      <c r="I441" s="38"/>
    </row>
    <row r="442" spans="1:9" x14ac:dyDescent="0.2">
      <c r="A442" s="1">
        <v>10.584</v>
      </c>
      <c r="B442" s="15">
        <v>422.65934069999997</v>
      </c>
      <c r="C442" s="15">
        <v>35.120879119999998</v>
      </c>
      <c r="D442" s="15">
        <v>12.05179453</v>
      </c>
      <c r="E442" s="39">
        <f t="shared" si="84"/>
        <v>214.33661320359849</v>
      </c>
      <c r="F442" s="39">
        <f t="shared" si="95"/>
        <v>0.36767205949858911</v>
      </c>
      <c r="G442" s="39">
        <f t="shared" si="96"/>
        <v>3.1049051892738325E-3</v>
      </c>
      <c r="I442" s="38"/>
    </row>
    <row r="443" spans="1:9" x14ac:dyDescent="0.2">
      <c r="A443" s="1">
        <v>10.608000000000001</v>
      </c>
      <c r="B443" s="15">
        <v>418.67032970000002</v>
      </c>
      <c r="C443" s="15">
        <v>34.681318679999997</v>
      </c>
      <c r="D443" s="15">
        <v>12.064739429999999</v>
      </c>
      <c r="E443" s="39">
        <f t="shared" si="84"/>
        <v>214.23268260375698</v>
      </c>
      <c r="F443" s="39">
        <f t="shared" si="95"/>
        <v>0.36986873786329533</v>
      </c>
      <c r="G443" s="39">
        <f t="shared" si="96"/>
        <v>3.1219179130879777E-3</v>
      </c>
      <c r="I443" s="38"/>
    </row>
    <row r="444" spans="1:9" x14ac:dyDescent="0.2">
      <c r="A444" s="1">
        <v>10.632</v>
      </c>
      <c r="B444" s="15">
        <v>414.84615380000002</v>
      </c>
      <c r="C444" s="15">
        <v>34.296703299999997</v>
      </c>
      <c r="D444" s="15">
        <v>12.07949953</v>
      </c>
      <c r="E444" s="39">
        <f t="shared" si="84"/>
        <v>214.11443699984039</v>
      </c>
      <c r="F444" s="39">
        <f t="shared" si="95"/>
        <v>0.37167466718430731</v>
      </c>
      <c r="G444" s="39">
        <f t="shared" si="96"/>
        <v>3.136949050264817E-3</v>
      </c>
      <c r="I444" s="38"/>
    </row>
    <row r="445" spans="1:9" x14ac:dyDescent="0.2">
      <c r="A445" s="1">
        <v>10.656000000000001</v>
      </c>
      <c r="B445" s="15">
        <v>411.38461539999997</v>
      </c>
      <c r="C445" s="15">
        <v>34.043956039999998</v>
      </c>
      <c r="D445" s="15">
        <v>12.091778550000001</v>
      </c>
      <c r="E445" s="39">
        <f t="shared" si="84"/>
        <v>214.01627703848592</v>
      </c>
      <c r="F445" s="39">
        <f t="shared" si="95"/>
        <v>0.37263592527830541</v>
      </c>
      <c r="G445" s="39">
        <f t="shared" si="96"/>
        <v>3.1474739674114097E-3</v>
      </c>
      <c r="I445" s="38"/>
    </row>
    <row r="446" spans="1:9" x14ac:dyDescent="0.2">
      <c r="A446" s="1">
        <v>10.68</v>
      </c>
      <c r="B446" s="15">
        <v>407.93406590000001</v>
      </c>
      <c r="C446" s="15">
        <v>33.659340659999998</v>
      </c>
      <c r="D446" s="15">
        <v>12.105591459999999</v>
      </c>
      <c r="E446" s="39">
        <f t="shared" si="84"/>
        <v>213.90608137763488</v>
      </c>
      <c r="F446" s="39">
        <f t="shared" si="95"/>
        <v>0.37459505645407198</v>
      </c>
      <c r="G446" s="39">
        <f t="shared" si="96"/>
        <v>3.1627378278157514E-3</v>
      </c>
      <c r="I446" s="38"/>
    </row>
    <row r="447" spans="1:9" x14ac:dyDescent="0.2">
      <c r="A447" s="1">
        <v>10.704000000000001</v>
      </c>
      <c r="B447" s="15">
        <v>403.7692308</v>
      </c>
      <c r="C447" s="15">
        <v>33.373626369999997</v>
      </c>
      <c r="D447" s="15">
        <v>12.12257778</v>
      </c>
      <c r="E447" s="39">
        <f t="shared" si="84"/>
        <v>213.77089654194714</v>
      </c>
      <c r="F447" s="39">
        <f t="shared" si="95"/>
        <v>0.37558816459750133</v>
      </c>
      <c r="G447" s="39">
        <f t="shared" si="96"/>
        <v>3.1748554673607628E-3</v>
      </c>
      <c r="I447" s="38"/>
    </row>
    <row r="448" spans="1:9" x14ac:dyDescent="0.2">
      <c r="A448" s="1">
        <v>10.728</v>
      </c>
      <c r="B448" s="15">
        <v>399.97802200000001</v>
      </c>
      <c r="C448" s="15">
        <v>33.043956039999998</v>
      </c>
      <c r="D448" s="15">
        <v>12.14377709</v>
      </c>
      <c r="E448" s="39">
        <f t="shared" si="84"/>
        <v>213.60268721403986</v>
      </c>
      <c r="F448" s="39">
        <f t="shared" si="95"/>
        <v>0.37690080885825206</v>
      </c>
      <c r="G448" s="39">
        <f t="shared" si="96"/>
        <v>3.1879672653017427E-3</v>
      </c>
      <c r="I448" s="38"/>
    </row>
    <row r="449" spans="1:9" x14ac:dyDescent="0.2">
      <c r="A449" s="1">
        <v>10.752000000000001</v>
      </c>
      <c r="B449" s="15">
        <v>395.60439559999998</v>
      </c>
      <c r="C449" s="15">
        <v>32.53846154</v>
      </c>
      <c r="D449" s="15">
        <v>12.16787038</v>
      </c>
      <c r="E449" s="39">
        <f t="shared" si="84"/>
        <v>213.41219146389159</v>
      </c>
      <c r="F449" s="39">
        <f t="shared" si="95"/>
        <v>0.37947768099813839</v>
      </c>
      <c r="G449" s="39">
        <f t="shared" si="96"/>
        <v>3.208187439339023E-3</v>
      </c>
      <c r="I449" s="38"/>
    </row>
    <row r="450" spans="1:9" x14ac:dyDescent="0.2">
      <c r="A450" s="1">
        <v>10.776</v>
      </c>
      <c r="B450" s="15">
        <v>392.02197799999999</v>
      </c>
      <c r="C450" s="15">
        <v>32.175824179999999</v>
      </c>
      <c r="D450" s="15">
        <v>12.19401438</v>
      </c>
      <c r="E450" s="39">
        <f t="shared" si="84"/>
        <v>213.20629065624445</v>
      </c>
      <c r="F450" s="39">
        <f t="shared" si="95"/>
        <v>0.38103568078489364</v>
      </c>
      <c r="G450" s="39">
        <f t="shared" si="96"/>
        <v>3.2223453586707122E-3</v>
      </c>
      <c r="I450" s="38"/>
    </row>
    <row r="451" spans="1:9" x14ac:dyDescent="0.2">
      <c r="A451" s="1">
        <v>10.8</v>
      </c>
      <c r="B451" s="15">
        <v>388.8602151</v>
      </c>
      <c r="C451" s="15">
        <v>31.913978490000002</v>
      </c>
      <c r="D451" s="15">
        <v>12.22897287</v>
      </c>
      <c r="E451" s="39">
        <f t="shared" ref="E451:E514" si="97" xml:space="preserve"> H$7/(LN(D451)-H$4)</f>
        <v>212.93227638404846</v>
      </c>
      <c r="F451" s="39">
        <f t="shared" ref="F451:F460" si="98" xml:space="preserve"> E451^2*(1/SQRT(C451)-1/SQRT(B451))/(H$7*SQRT(11*93))</f>
        <v>0.37749272687248264</v>
      </c>
      <c r="G451" s="39">
        <f t="shared" ref="G451:G460" si="99" xml:space="preserve"> E451*(1/SQRT(C451)+1/SQRT(B451))/(H$7*SQRT(11*93))</f>
        <v>3.1964183207639175E-3</v>
      </c>
      <c r="I451" s="38"/>
    </row>
    <row r="452" spans="1:9" x14ac:dyDescent="0.2">
      <c r="A452" s="1">
        <v>10.824</v>
      </c>
      <c r="B452" s="15">
        <v>385.70967739999998</v>
      </c>
      <c r="C452" s="15">
        <v>31.58064516</v>
      </c>
      <c r="D452" s="15">
        <v>12.25941737</v>
      </c>
      <c r="E452" s="39">
        <f t="shared" si="97"/>
        <v>212.69485228345636</v>
      </c>
      <c r="F452" s="39">
        <f t="shared" si="98"/>
        <v>0.37881356535099187</v>
      </c>
      <c r="G452" s="39">
        <f t="shared" si="99"/>
        <v>3.2088157090771991E-3</v>
      </c>
      <c r="I452" s="38"/>
    </row>
    <row r="453" spans="1:9" x14ac:dyDescent="0.2">
      <c r="A453" s="1">
        <v>10.848000000000001</v>
      </c>
      <c r="B453" s="15">
        <v>382.01075270000001</v>
      </c>
      <c r="C453" s="15">
        <v>31.139784949999999</v>
      </c>
      <c r="D453" s="15">
        <v>12.29041913</v>
      </c>
      <c r="E453" s="39">
        <f t="shared" si="97"/>
        <v>212.45422890010008</v>
      </c>
      <c r="F453" s="39">
        <f t="shared" si="98"/>
        <v>0.38095994556410251</v>
      </c>
      <c r="G453" s="39">
        <f t="shared" si="99"/>
        <v>3.226208447463629E-3</v>
      </c>
      <c r="I453" s="38"/>
    </row>
    <row r="454" spans="1:9" x14ac:dyDescent="0.2">
      <c r="A454" s="1">
        <v>10.872</v>
      </c>
      <c r="B454" s="15">
        <v>378.7311828</v>
      </c>
      <c r="C454" s="15">
        <v>30.698924730000002</v>
      </c>
      <c r="D454" s="15">
        <v>12.316149210000001</v>
      </c>
      <c r="E454" s="39">
        <f t="shared" si="97"/>
        <v>212.25539434868722</v>
      </c>
      <c r="F454" s="39">
        <f t="shared" si="98"/>
        <v>0.38339847438461544</v>
      </c>
      <c r="G454" s="39">
        <f t="shared" si="99"/>
        <v>3.2442212244257651E-3</v>
      </c>
      <c r="I454" s="38"/>
    </row>
    <row r="455" spans="1:9" x14ac:dyDescent="0.2">
      <c r="A455" s="1">
        <v>10.896000000000001</v>
      </c>
      <c r="B455" s="15">
        <v>375.09677420000003</v>
      </c>
      <c r="C455" s="15">
        <v>30.290322580000002</v>
      </c>
      <c r="D455" s="15">
        <v>12.334912210000001</v>
      </c>
      <c r="E455" s="39">
        <f t="shared" si="97"/>
        <v>212.11089498165825</v>
      </c>
      <c r="F455" s="39">
        <f t="shared" si="98"/>
        <v>0.38573830081834476</v>
      </c>
      <c r="G455" s="39">
        <f t="shared" si="99"/>
        <v>3.2624486379674912E-3</v>
      </c>
      <c r="I455" s="38"/>
    </row>
    <row r="456" spans="1:9" x14ac:dyDescent="0.2">
      <c r="A456" s="1">
        <v>10.92</v>
      </c>
      <c r="B456" s="15">
        <v>372.04301079999999</v>
      </c>
      <c r="C456" s="15">
        <v>29.838709680000001</v>
      </c>
      <c r="D456" s="15">
        <v>12.34931052</v>
      </c>
      <c r="E456" s="39">
        <f t="shared" si="97"/>
        <v>212.00029143837833</v>
      </c>
      <c r="F456" s="39">
        <f t="shared" si="98"/>
        <v>0.38876798767452125</v>
      </c>
      <c r="G456" s="39">
        <f t="shared" si="99"/>
        <v>3.2828460225252237E-3</v>
      </c>
      <c r="I456" s="38"/>
    </row>
    <row r="457" spans="1:9" x14ac:dyDescent="0.2">
      <c r="A457" s="1">
        <v>10.944000000000001</v>
      </c>
      <c r="B457" s="15">
        <v>368.40860220000002</v>
      </c>
      <c r="C457" s="15">
        <v>29.58064516</v>
      </c>
      <c r="D457" s="15">
        <v>12.36564759</v>
      </c>
      <c r="E457" s="39">
        <f t="shared" si="97"/>
        <v>211.8750903205806</v>
      </c>
      <c r="F457" s="39">
        <f t="shared" si="98"/>
        <v>0.3899119536443349</v>
      </c>
      <c r="G457" s="39">
        <f t="shared" si="99"/>
        <v>3.2955988821163945E-3</v>
      </c>
      <c r="I457" s="38"/>
    </row>
    <row r="458" spans="1:9" x14ac:dyDescent="0.2">
      <c r="A458" s="1">
        <v>10.968</v>
      </c>
      <c r="B458" s="15">
        <v>364.62365590000002</v>
      </c>
      <c r="C458" s="15">
        <v>29.311827959999999</v>
      </c>
      <c r="D458" s="15">
        <v>12.377822200000001</v>
      </c>
      <c r="E458" s="39">
        <f t="shared" si="97"/>
        <v>211.78199219966274</v>
      </c>
      <c r="F458" s="39">
        <f t="shared" si="98"/>
        <v>0.39125895715975362</v>
      </c>
      <c r="G458" s="39">
        <f t="shared" si="99"/>
        <v>3.3096592693118944E-3</v>
      </c>
      <c r="I458" s="38"/>
    </row>
    <row r="459" spans="1:9" x14ac:dyDescent="0.2">
      <c r="A459" s="1">
        <v>10.992000000000001</v>
      </c>
      <c r="B459" s="15">
        <v>360.96774190000002</v>
      </c>
      <c r="C459" s="15">
        <v>29.139784949999999</v>
      </c>
      <c r="D459" s="15">
        <v>12.381665870000001</v>
      </c>
      <c r="E459" s="39">
        <f t="shared" si="97"/>
        <v>211.75263600326758</v>
      </c>
      <c r="F459" s="39">
        <f t="shared" si="98"/>
        <v>0.39197786617316926</v>
      </c>
      <c r="G459" s="39">
        <f t="shared" si="99"/>
        <v>3.3204927101237436E-3</v>
      </c>
      <c r="I459" s="38"/>
    </row>
    <row r="460" spans="1:9" x14ac:dyDescent="0.2">
      <c r="A460" s="1">
        <v>11.016</v>
      </c>
      <c r="B460" s="15">
        <v>357.50537630000002</v>
      </c>
      <c r="C460" s="15">
        <v>28.913978490000002</v>
      </c>
      <c r="D460" s="15">
        <v>12.38330861</v>
      </c>
      <c r="E460" s="39">
        <f t="shared" si="97"/>
        <v>211.74009476642357</v>
      </c>
      <c r="F460" s="39">
        <f t="shared" si="98"/>
        <v>0.39331365984567862</v>
      </c>
      <c r="G460" s="39">
        <f t="shared" si="99"/>
        <v>3.3339217312742461E-3</v>
      </c>
      <c r="I460" s="38"/>
    </row>
    <row r="461" spans="1:9" x14ac:dyDescent="0.2">
      <c r="A461" s="1">
        <v>11.04</v>
      </c>
      <c r="B461" s="15">
        <v>354.67368420000003</v>
      </c>
      <c r="C461" s="15">
        <v>28.736842110000001</v>
      </c>
      <c r="D461" s="15">
        <v>12.382537449999999</v>
      </c>
      <c r="E461" s="39">
        <f t="shared" si="97"/>
        <v>211.74598167239961</v>
      </c>
      <c r="F461" s="39">
        <f t="shared" ref="F461:F470" si="100" xml:space="preserve"> E461^2*(1/SQRT(C461)-1/SQRT(B461))/(H$7*SQRT(11*95))</f>
        <v>0.3902305041920836</v>
      </c>
      <c r="G461" s="39">
        <f t="shared" ref="G461:G470" si="101" xml:space="preserve"> E461*(1/SQRT(C461)+1/SQRT(B461))/(H$7*SQRT(11*95))</f>
        <v>3.3095463465339318E-3</v>
      </c>
      <c r="I461" s="38"/>
    </row>
    <row r="462" spans="1:9" x14ac:dyDescent="0.2">
      <c r="A462" s="1">
        <v>11.064</v>
      </c>
      <c r="B462" s="15">
        <v>351.1473684</v>
      </c>
      <c r="C462" s="15">
        <v>28.4</v>
      </c>
      <c r="D462" s="15">
        <v>12.370522790000001</v>
      </c>
      <c r="E462" s="39">
        <f t="shared" si="97"/>
        <v>211.83778929194725</v>
      </c>
      <c r="F462" s="39">
        <f t="shared" si="100"/>
        <v>0.39301886639029998</v>
      </c>
      <c r="G462" s="39">
        <f t="shared" si="101"/>
        <v>3.3298951920212928E-3</v>
      </c>
      <c r="I462" s="38"/>
    </row>
    <row r="463" spans="1:9" x14ac:dyDescent="0.2">
      <c r="A463" s="1">
        <v>11.087999999999999</v>
      </c>
      <c r="B463" s="15">
        <v>347.93684209999998</v>
      </c>
      <c r="C463" s="15">
        <v>28.178947369999999</v>
      </c>
      <c r="D463" s="15">
        <v>12.36124029</v>
      </c>
      <c r="E463" s="39">
        <f t="shared" si="97"/>
        <v>211.9088353349114</v>
      </c>
      <c r="F463" s="39">
        <f t="shared" si="100"/>
        <v>0.39471449307020046</v>
      </c>
      <c r="G463" s="39">
        <f t="shared" si="101"/>
        <v>3.3445594331492296E-3</v>
      </c>
      <c r="I463" s="38"/>
    </row>
    <row r="464" spans="1:9" x14ac:dyDescent="0.2">
      <c r="A464" s="1">
        <v>11.112</v>
      </c>
      <c r="B464" s="15">
        <v>344.54736839999998</v>
      </c>
      <c r="C464" s="15">
        <v>27.98947368</v>
      </c>
      <c r="D464" s="15">
        <v>12.354182570000001</v>
      </c>
      <c r="E464" s="39">
        <f t="shared" si="97"/>
        <v>211.96292108348172</v>
      </c>
      <c r="F464" s="39">
        <f t="shared" si="100"/>
        <v>0.39601044766453847</v>
      </c>
      <c r="G464" s="39">
        <f t="shared" si="101"/>
        <v>3.3578495115246989E-3</v>
      </c>
      <c r="I464" s="38"/>
    </row>
    <row r="465" spans="1:9" x14ac:dyDescent="0.2">
      <c r="A465" s="1">
        <v>11.135999999999999</v>
      </c>
      <c r="B465" s="15">
        <v>341.77894739999999</v>
      </c>
      <c r="C465" s="15">
        <v>27.663157890000001</v>
      </c>
      <c r="D465" s="15">
        <v>12.35163449</v>
      </c>
      <c r="E465" s="39">
        <f t="shared" si="97"/>
        <v>211.98246228038659</v>
      </c>
      <c r="F465" s="39">
        <f t="shared" si="100"/>
        <v>0.39870307628439045</v>
      </c>
      <c r="G465" s="39">
        <f t="shared" si="101"/>
        <v>3.3765378251776499E-3</v>
      </c>
      <c r="I465" s="38"/>
    </row>
    <row r="466" spans="1:9" x14ac:dyDescent="0.2">
      <c r="A466" s="1">
        <v>11.16</v>
      </c>
      <c r="B466" s="15">
        <v>338.4210526</v>
      </c>
      <c r="C466" s="15">
        <v>27.347368419999999</v>
      </c>
      <c r="D466" s="15">
        <v>12.35191268</v>
      </c>
      <c r="E466" s="39">
        <f t="shared" si="97"/>
        <v>211.98032847315315</v>
      </c>
      <c r="F466" s="39">
        <f t="shared" si="100"/>
        <v>0.40111850384131809</v>
      </c>
      <c r="G466" s="39">
        <f t="shared" si="101"/>
        <v>3.3953382784538328E-3</v>
      </c>
      <c r="I466" s="38"/>
    </row>
    <row r="467" spans="1:9" x14ac:dyDescent="0.2">
      <c r="A467" s="1">
        <v>11.183999999999999</v>
      </c>
      <c r="B467" s="15">
        <v>334.76842110000001</v>
      </c>
      <c r="C467" s="15">
        <v>27.13684211</v>
      </c>
      <c r="D467" s="15">
        <v>12.35535808</v>
      </c>
      <c r="E467" s="39">
        <f t="shared" si="97"/>
        <v>211.95390868313925</v>
      </c>
      <c r="F467" s="39">
        <f t="shared" si="100"/>
        <v>0.40232113208144576</v>
      </c>
      <c r="G467" s="39">
        <f t="shared" si="101"/>
        <v>3.4092376223576826E-3</v>
      </c>
      <c r="I467" s="38"/>
    </row>
    <row r="468" spans="1:9" x14ac:dyDescent="0.2">
      <c r="A468" s="1">
        <v>11.208</v>
      </c>
      <c r="B468" s="15">
        <v>331.82105259999997</v>
      </c>
      <c r="C468" s="15">
        <v>26.86315789</v>
      </c>
      <c r="D468" s="15">
        <v>12.35526389</v>
      </c>
      <c r="E468" s="39">
        <f t="shared" si="97"/>
        <v>211.95463075920944</v>
      </c>
      <c r="F468" s="39">
        <f t="shared" si="100"/>
        <v>0.40447218727457057</v>
      </c>
      <c r="G468" s="39">
        <f t="shared" si="101"/>
        <v>3.4260811763270425E-3</v>
      </c>
      <c r="I468" s="38"/>
    </row>
    <row r="469" spans="1:9" x14ac:dyDescent="0.2">
      <c r="A469" s="1">
        <v>11.231999999999999</v>
      </c>
      <c r="B469" s="15">
        <v>328.69473679999999</v>
      </c>
      <c r="C469" s="15">
        <v>26.589473680000001</v>
      </c>
      <c r="D469" s="15">
        <v>12.35243232</v>
      </c>
      <c r="E469" s="39">
        <f t="shared" si="97"/>
        <v>211.9763429101412</v>
      </c>
      <c r="F469" s="39">
        <f t="shared" si="100"/>
        <v>0.40669432918401821</v>
      </c>
      <c r="G469" s="39">
        <f t="shared" si="101"/>
        <v>3.4437258784098574E-3</v>
      </c>
      <c r="I469" s="38"/>
    </row>
    <row r="470" spans="1:9" x14ac:dyDescent="0.2">
      <c r="A470" s="1">
        <v>11.256</v>
      </c>
      <c r="B470" s="15">
        <v>325.76842110000001</v>
      </c>
      <c r="C470" s="15">
        <v>26.357894739999999</v>
      </c>
      <c r="D470" s="15">
        <v>12.33957642</v>
      </c>
      <c r="E470" s="39">
        <f t="shared" si="97"/>
        <v>212.0750391363508</v>
      </c>
      <c r="F470" s="39">
        <f t="shared" si="100"/>
        <v>0.40884162498516813</v>
      </c>
      <c r="G470" s="39">
        <f t="shared" si="101"/>
        <v>3.4605061769904847E-3</v>
      </c>
      <c r="I470" s="38"/>
    </row>
    <row r="471" spans="1:9" x14ac:dyDescent="0.2">
      <c r="A471" s="1">
        <v>11.28</v>
      </c>
      <c r="B471" s="15">
        <v>323.34020620000001</v>
      </c>
      <c r="C471" s="15">
        <v>26.144329899999999</v>
      </c>
      <c r="D471" s="15">
        <v>12.3220536</v>
      </c>
      <c r="E471" s="39">
        <f t="shared" si="97"/>
        <v>212.20987795514787</v>
      </c>
      <c r="F471" s="39">
        <f t="shared" ref="F471:F480" si="102" xml:space="preserve"> E471^2*(1/SQRT(C471)-1/SQRT(B471))/(H$7*SQRT(11*97))</f>
        <v>0.40682360551448704</v>
      </c>
      <c r="G471" s="39">
        <f t="shared" ref="G471:G480" si="103" xml:space="preserve"> E471*(1/SQRT(C471)+1/SQRT(B471))/(H$7*SQRT(11*97))</f>
        <v>3.4405412660939573E-3</v>
      </c>
      <c r="I471" s="38"/>
    </row>
    <row r="472" spans="1:9" x14ac:dyDescent="0.2">
      <c r="A472" s="1">
        <v>11.304</v>
      </c>
      <c r="B472" s="15">
        <v>320.73195879999997</v>
      </c>
      <c r="C472" s="15">
        <v>25.90721649</v>
      </c>
      <c r="D472" s="15">
        <v>12.303259349999999</v>
      </c>
      <c r="E472" s="39">
        <f t="shared" si="97"/>
        <v>212.35490490422697</v>
      </c>
      <c r="F472" s="39">
        <f t="shared" si="102"/>
        <v>0.40932207661177727</v>
      </c>
      <c r="G472" s="39">
        <f t="shared" si="103"/>
        <v>3.4582249003105676E-3</v>
      </c>
      <c r="I472" s="38"/>
    </row>
    <row r="473" spans="1:9" x14ac:dyDescent="0.2">
      <c r="A473" s="1">
        <v>11.327999999999999</v>
      </c>
      <c r="B473" s="15">
        <v>317.49484539999997</v>
      </c>
      <c r="C473" s="15">
        <v>25.680412369999999</v>
      </c>
      <c r="D473" s="15">
        <v>12.28638048</v>
      </c>
      <c r="E473" s="39">
        <f t="shared" si="97"/>
        <v>212.48551007714556</v>
      </c>
      <c r="F473" s="39">
        <f t="shared" si="102"/>
        <v>0.41152103996355704</v>
      </c>
      <c r="G473" s="39">
        <f t="shared" si="103"/>
        <v>3.476118608397135E-3</v>
      </c>
      <c r="I473" s="38"/>
    </row>
    <row r="474" spans="1:9" x14ac:dyDescent="0.2">
      <c r="A474" s="1">
        <v>11.352</v>
      </c>
      <c r="B474" s="15">
        <v>314.7628866</v>
      </c>
      <c r="C474" s="15">
        <v>25.556701029999999</v>
      </c>
      <c r="D474" s="15">
        <v>12.272803769999999</v>
      </c>
      <c r="E474" s="39">
        <f t="shared" si="97"/>
        <v>212.59081094487365</v>
      </c>
      <c r="F474" s="39">
        <f t="shared" si="102"/>
        <v>0.41261164200344008</v>
      </c>
      <c r="G474" s="39">
        <f t="shared" si="103"/>
        <v>3.4877217471296785E-3</v>
      </c>
      <c r="I474" s="38"/>
    </row>
    <row r="475" spans="1:9" x14ac:dyDescent="0.2">
      <c r="A475" s="1">
        <v>11.375999999999999</v>
      </c>
      <c r="B475" s="15">
        <v>311.98969069999998</v>
      </c>
      <c r="C475" s="15">
        <v>25.639175259999998</v>
      </c>
      <c r="D475" s="15">
        <v>12.25488232</v>
      </c>
      <c r="E475" s="39">
        <f t="shared" si="97"/>
        <v>212.73014833367642</v>
      </c>
      <c r="F475" s="39">
        <f t="shared" si="102"/>
        <v>0.41149254836877452</v>
      </c>
      <c r="G475" s="39">
        <f t="shared" si="103"/>
        <v>3.4890677609934451E-3</v>
      </c>
      <c r="I475" s="38"/>
    </row>
    <row r="476" spans="1:9" x14ac:dyDescent="0.2">
      <c r="A476" s="1">
        <v>11.4</v>
      </c>
      <c r="B476" s="15">
        <v>309.07216490000002</v>
      </c>
      <c r="C476" s="15">
        <v>25.41237113</v>
      </c>
      <c r="D476" s="15">
        <v>12.23698714</v>
      </c>
      <c r="E476" s="39">
        <f t="shared" si="97"/>
        <v>212.8696677114568</v>
      </c>
      <c r="F476" s="39">
        <f t="shared" si="102"/>
        <v>0.4138246642952042</v>
      </c>
      <c r="G476" s="39">
        <f t="shared" si="103"/>
        <v>3.5071008149566538E-3</v>
      </c>
      <c r="I476" s="38"/>
    </row>
    <row r="477" spans="1:9" x14ac:dyDescent="0.2">
      <c r="A477" s="1">
        <v>11.423999999999999</v>
      </c>
      <c r="B477" s="15">
        <v>306.58762890000003</v>
      </c>
      <c r="C477" s="15">
        <v>25.195876290000001</v>
      </c>
      <c r="D477" s="15">
        <v>12.225103369999999</v>
      </c>
      <c r="E477" s="39">
        <f t="shared" si="97"/>
        <v>212.9625333786272</v>
      </c>
      <c r="F477" s="39">
        <f t="shared" si="102"/>
        <v>0.41600195639310206</v>
      </c>
      <c r="G477" s="39">
        <f t="shared" si="103"/>
        <v>3.5234822372618175E-3</v>
      </c>
      <c r="I477" s="38"/>
    </row>
    <row r="478" spans="1:9" x14ac:dyDescent="0.2">
      <c r="A478" s="1">
        <v>11.448</v>
      </c>
      <c r="B478" s="15">
        <v>303.51546389999999</v>
      </c>
      <c r="C478" s="15">
        <v>24.979381440000001</v>
      </c>
      <c r="D478" s="15">
        <v>12.208675619999999</v>
      </c>
      <c r="E478" s="39">
        <f t="shared" si="97"/>
        <v>213.09119046222679</v>
      </c>
      <c r="F478" s="39">
        <f t="shared" si="102"/>
        <v>0.4181845591615248</v>
      </c>
      <c r="G478" s="39">
        <f t="shared" si="103"/>
        <v>3.541424844726495E-3</v>
      </c>
      <c r="I478" s="38"/>
    </row>
    <row r="479" spans="1:9" x14ac:dyDescent="0.2">
      <c r="A479" s="1">
        <v>11.472</v>
      </c>
      <c r="B479" s="15">
        <v>300.67010310000001</v>
      </c>
      <c r="C479" s="15">
        <v>24.639175259999998</v>
      </c>
      <c r="D479" s="15">
        <v>12.193915499999999</v>
      </c>
      <c r="E479" s="39">
        <f t="shared" si="97"/>
        <v>213.20706782015549</v>
      </c>
      <c r="F479" s="39">
        <f t="shared" si="102"/>
        <v>0.42188347134148224</v>
      </c>
      <c r="G479" s="39">
        <f t="shared" si="103"/>
        <v>3.5660234048170152E-3</v>
      </c>
      <c r="I479" s="38"/>
    </row>
    <row r="480" spans="1:9" x14ac:dyDescent="0.2">
      <c r="A480" s="1">
        <v>11.496</v>
      </c>
      <c r="B480" s="15">
        <v>297.72164950000001</v>
      </c>
      <c r="C480" s="15">
        <v>24.4742268</v>
      </c>
      <c r="D480" s="15">
        <v>12.1866345</v>
      </c>
      <c r="E480" s="39">
        <f t="shared" si="97"/>
        <v>213.26432696431868</v>
      </c>
      <c r="F480" s="39">
        <f t="shared" si="102"/>
        <v>0.4232634591878866</v>
      </c>
      <c r="G480" s="39">
        <f t="shared" si="103"/>
        <v>3.5802316342910825E-3</v>
      </c>
      <c r="I480" s="38"/>
    </row>
    <row r="481" spans="1:17" x14ac:dyDescent="0.2">
      <c r="A481" s="1">
        <v>11.52</v>
      </c>
      <c r="B481" s="15">
        <v>295.46464650000001</v>
      </c>
      <c r="C481" s="15">
        <v>24.29292929</v>
      </c>
      <c r="D481" s="15">
        <v>12.19163137</v>
      </c>
      <c r="E481" s="39">
        <f t="shared" si="97"/>
        <v>213.22502365414923</v>
      </c>
      <c r="F481" s="39">
        <f t="shared" ref="F481:F490" si="104" xml:space="preserve"> E481^2*(1/SQRT(C481)-1/SQRT(B481))/(H$7*SQRT(11*99))</f>
        <v>0.42035698499806934</v>
      </c>
      <c r="G481" s="39">
        <f t="shared" ref="G481:G490" si="105" xml:space="preserve"> E481*(1/SQRT(C481)+1/SQRT(B481))/(H$7*SQRT(11*99))</f>
        <v>3.5564961479646082E-3</v>
      </c>
      <c r="I481" s="38"/>
    </row>
    <row r="482" spans="1:17" x14ac:dyDescent="0.2">
      <c r="A482" s="1">
        <v>11.544</v>
      </c>
      <c r="B482" s="15">
        <v>292.32323229999997</v>
      </c>
      <c r="C482" s="15">
        <v>23.88888889</v>
      </c>
      <c r="D482" s="15">
        <v>12.190237789999999</v>
      </c>
      <c r="E482" s="39">
        <f t="shared" si="97"/>
        <v>213.23598190060767</v>
      </c>
      <c r="F482" s="39">
        <f t="shared" si="104"/>
        <v>0.42445802655291182</v>
      </c>
      <c r="G482" s="39">
        <f t="shared" si="105"/>
        <v>3.5842032694449596E-3</v>
      </c>
      <c r="I482" s="38"/>
    </row>
    <row r="483" spans="1:17" x14ac:dyDescent="0.2">
      <c r="A483" s="1">
        <v>11.568</v>
      </c>
      <c r="B483" s="15">
        <v>289.33333329999999</v>
      </c>
      <c r="C483" s="15">
        <v>23.71717172</v>
      </c>
      <c r="D483" s="15">
        <v>12.18455947</v>
      </c>
      <c r="E483" s="39">
        <f t="shared" si="97"/>
        <v>213.28065728657023</v>
      </c>
      <c r="F483" s="39">
        <f t="shared" si="104"/>
        <v>0.42590857841077601</v>
      </c>
      <c r="G483" s="39">
        <f t="shared" si="105"/>
        <v>3.5991360801144786E-3</v>
      </c>
      <c r="I483" s="38"/>
    </row>
    <row r="484" spans="1:17" x14ac:dyDescent="0.2">
      <c r="A484" s="1">
        <v>11.592000000000001</v>
      </c>
      <c r="B484" s="15">
        <v>286.41414140000001</v>
      </c>
      <c r="C484" s="15">
        <v>23.474747470000001</v>
      </c>
      <c r="D484" s="15">
        <v>12.18031268</v>
      </c>
      <c r="E484" s="39">
        <f t="shared" si="97"/>
        <v>213.31409566215896</v>
      </c>
      <c r="F484" s="39">
        <f t="shared" si="104"/>
        <v>0.42824782300408942</v>
      </c>
      <c r="G484" s="39">
        <f t="shared" si="105"/>
        <v>3.6181859748508111E-3</v>
      </c>
      <c r="I484" s="38"/>
    </row>
    <row r="485" spans="1:17" s="17" customFormat="1" x14ac:dyDescent="0.2">
      <c r="A485" s="20">
        <v>11.616</v>
      </c>
      <c r="B485" s="21">
        <v>283.65656569999999</v>
      </c>
      <c r="C485" s="21">
        <v>23.18181818</v>
      </c>
      <c r="D485" s="21">
        <v>12.17118861</v>
      </c>
      <c r="E485" s="45">
        <f t="shared" si="97"/>
        <v>213.38601172143558</v>
      </c>
      <c r="F485" s="45">
        <f t="shared" si="104"/>
        <v>0.43148477830976473</v>
      </c>
      <c r="G485" s="45">
        <f t="shared" si="105"/>
        <v>3.6410342551618465E-3</v>
      </c>
      <c r="H485" s="46"/>
      <c r="I485" s="36"/>
      <c r="J485" s="37"/>
      <c r="K485" s="25"/>
      <c r="L485" s="25"/>
      <c r="M485" s="22"/>
      <c r="N485" s="22"/>
      <c r="P485" s="21"/>
      <c r="Q485" s="18"/>
    </row>
    <row r="486" spans="1:17" x14ac:dyDescent="0.2">
      <c r="A486" s="1">
        <v>11.64</v>
      </c>
      <c r="B486" s="15">
        <v>281.26262630000002</v>
      </c>
      <c r="C486" s="15">
        <v>23.01010101</v>
      </c>
      <c r="D486" s="15">
        <v>12.167301289999999</v>
      </c>
      <c r="E486" s="39">
        <f t="shared" si="97"/>
        <v>213.41668275932935</v>
      </c>
      <c r="F486" s="39">
        <f t="shared" si="104"/>
        <v>0.43312607436009071</v>
      </c>
      <c r="G486" s="39">
        <f t="shared" si="105"/>
        <v>3.6555430742733707E-3</v>
      </c>
      <c r="I486" s="38"/>
    </row>
    <row r="487" spans="1:17" x14ac:dyDescent="0.2">
      <c r="A487" s="1">
        <v>11.664</v>
      </c>
      <c r="B487" s="15">
        <v>278.88888889999998</v>
      </c>
      <c r="C487" s="15">
        <v>22.959595960000001</v>
      </c>
      <c r="D487" s="15">
        <v>12.164697159999999</v>
      </c>
      <c r="E487" s="39">
        <f t="shared" si="97"/>
        <v>213.43723981616324</v>
      </c>
      <c r="F487" s="39">
        <f t="shared" si="104"/>
        <v>0.43313950348087649</v>
      </c>
      <c r="G487" s="39">
        <f t="shared" si="105"/>
        <v>3.662473174847608E-3</v>
      </c>
      <c r="I487" s="38"/>
    </row>
    <row r="488" spans="1:17" x14ac:dyDescent="0.2">
      <c r="A488" s="1">
        <v>11.688000000000001</v>
      </c>
      <c r="B488" s="15">
        <v>276.47474749999998</v>
      </c>
      <c r="C488" s="15">
        <v>22.838383839999999</v>
      </c>
      <c r="D488" s="15">
        <v>12.15176452</v>
      </c>
      <c r="E488" s="39">
        <f t="shared" si="97"/>
        <v>213.53945435340751</v>
      </c>
      <c r="F488" s="39">
        <f t="shared" si="104"/>
        <v>0.43440579950832481</v>
      </c>
      <c r="G488" s="39">
        <f t="shared" si="105"/>
        <v>3.6753319242981922E-3</v>
      </c>
      <c r="I488" s="38"/>
    </row>
    <row r="489" spans="1:17" x14ac:dyDescent="0.2">
      <c r="A489" s="1">
        <v>11.712</v>
      </c>
      <c r="B489" s="15">
        <v>274.11111110000002</v>
      </c>
      <c r="C489" s="15">
        <v>22.646464649999999</v>
      </c>
      <c r="D489" s="15">
        <v>12.137735559999999</v>
      </c>
      <c r="E489" s="39">
        <f t="shared" si="97"/>
        <v>213.65056780077433</v>
      </c>
      <c r="F489" s="39">
        <f t="shared" si="104"/>
        <v>0.43668377363320604</v>
      </c>
      <c r="G489" s="39">
        <f t="shared" si="105"/>
        <v>3.6928536524578909E-3</v>
      </c>
      <c r="I489" s="38"/>
    </row>
    <row r="490" spans="1:17" x14ac:dyDescent="0.2">
      <c r="A490" s="1">
        <v>11.736000000000001</v>
      </c>
      <c r="B490" s="15">
        <v>271.75757579999998</v>
      </c>
      <c r="C490" s="15">
        <v>22.454545450000001</v>
      </c>
      <c r="D490" s="15">
        <v>12.12042593</v>
      </c>
      <c r="E490" s="39">
        <f t="shared" si="97"/>
        <v>213.78800201023137</v>
      </c>
      <c r="F490" s="39">
        <f t="shared" si="104"/>
        <v>0.43910039937866302</v>
      </c>
      <c r="G490" s="39">
        <f t="shared" si="105"/>
        <v>3.7110337025995726E-3</v>
      </c>
      <c r="I490" s="38"/>
    </row>
    <row r="491" spans="1:17" x14ac:dyDescent="0.2">
      <c r="A491" s="1">
        <v>11.76</v>
      </c>
      <c r="B491" s="15">
        <v>269.68316829999998</v>
      </c>
      <c r="C491" s="15">
        <v>22.24752475</v>
      </c>
      <c r="D491" s="15">
        <v>12.10042872</v>
      </c>
      <c r="E491" s="39">
        <f t="shared" si="97"/>
        <v>213.94724031784054</v>
      </c>
      <c r="F491" s="39">
        <f t="shared" ref="F491:F500" si="106" xml:space="preserve"> E491^2*(1/SQRT(C491)-1/SQRT(B491))/(H$7*SQRT(11*101))</f>
        <v>0.43754104922291692</v>
      </c>
      <c r="G491" s="39">
        <f t="shared" ref="G491:G500" si="107" xml:space="preserve"> E491*(1/SQRT(C491)+1/SQRT(B491))/(H$7*SQRT(11*101))</f>
        <v>3.6932518106748639E-3</v>
      </c>
      <c r="I491" s="38"/>
    </row>
    <row r="492" spans="1:17" x14ac:dyDescent="0.2">
      <c r="A492" s="1">
        <v>11.784000000000001</v>
      </c>
      <c r="B492" s="15">
        <v>267.30693070000001</v>
      </c>
      <c r="C492" s="15">
        <v>22.029702969999999</v>
      </c>
      <c r="D492" s="15">
        <v>12.08079395</v>
      </c>
      <c r="E492" s="39">
        <f t="shared" si="97"/>
        <v>214.10408029980113</v>
      </c>
      <c r="F492" s="39">
        <f t="shared" si="106"/>
        <v>0.44043146117440041</v>
      </c>
      <c r="G492" s="39">
        <f t="shared" si="107"/>
        <v>3.7137768263598571E-3</v>
      </c>
      <c r="I492" s="38"/>
    </row>
    <row r="493" spans="1:17" x14ac:dyDescent="0.2">
      <c r="A493" s="1">
        <v>11.808</v>
      </c>
      <c r="B493" s="15">
        <v>264.76237620000001</v>
      </c>
      <c r="C493" s="15">
        <v>21.891089109999999</v>
      </c>
      <c r="D493" s="15">
        <v>12.06602578</v>
      </c>
      <c r="E493" s="39">
        <f t="shared" si="97"/>
        <v>214.2223664907944</v>
      </c>
      <c r="F493" s="39">
        <f t="shared" si="106"/>
        <v>0.44202207288516793</v>
      </c>
      <c r="G493" s="39">
        <f t="shared" si="107"/>
        <v>3.728927609881584E-3</v>
      </c>
      <c r="I493" s="38"/>
    </row>
    <row r="494" spans="1:17" x14ac:dyDescent="0.2">
      <c r="A494" s="1">
        <v>11.832000000000001</v>
      </c>
      <c r="B494" s="15">
        <v>262.36633660000001</v>
      </c>
      <c r="C494" s="15">
        <v>21.782178219999999</v>
      </c>
      <c r="D494" s="15">
        <v>12.04916236</v>
      </c>
      <c r="E494" s="39">
        <f t="shared" si="97"/>
        <v>214.35777208686702</v>
      </c>
      <c r="F494" s="39">
        <f t="shared" si="106"/>
        <v>0.44331833011758309</v>
      </c>
      <c r="G494" s="39">
        <f t="shared" si="107"/>
        <v>3.7423168926021782E-3</v>
      </c>
      <c r="I494" s="38"/>
    </row>
    <row r="495" spans="1:17" x14ac:dyDescent="0.2">
      <c r="A495" s="1">
        <v>11.856</v>
      </c>
      <c r="B495" s="15">
        <v>259.47524750000002</v>
      </c>
      <c r="C495" s="15">
        <v>21.603960399999998</v>
      </c>
      <c r="D495" s="15">
        <v>12.031655000000001</v>
      </c>
      <c r="E495" s="39">
        <f t="shared" si="97"/>
        <v>214.49873048923618</v>
      </c>
      <c r="F495" s="39">
        <f t="shared" si="106"/>
        <v>0.44547011583530927</v>
      </c>
      <c r="G495" s="39">
        <f t="shared" si="107"/>
        <v>3.7613977010377687E-3</v>
      </c>
      <c r="I495" s="38"/>
    </row>
    <row r="496" spans="1:17" x14ac:dyDescent="0.2">
      <c r="A496" s="1">
        <v>11.88</v>
      </c>
      <c r="B496" s="15">
        <v>257.0990099</v>
      </c>
      <c r="C496" s="15">
        <v>21.396039600000002</v>
      </c>
      <c r="D496" s="15">
        <v>12.00986833</v>
      </c>
      <c r="E496" s="39">
        <f t="shared" si="97"/>
        <v>214.67468972019063</v>
      </c>
      <c r="F496" s="39">
        <f t="shared" si="106"/>
        <v>0.44840686518334433</v>
      </c>
      <c r="G496" s="39">
        <f t="shared" si="107"/>
        <v>3.7825307990971648E-3</v>
      </c>
      <c r="I496" s="38"/>
    </row>
    <row r="497" spans="1:9" x14ac:dyDescent="0.2">
      <c r="A497" s="1">
        <v>11.904</v>
      </c>
      <c r="B497" s="15">
        <v>255.00990100000001</v>
      </c>
      <c r="C497" s="15">
        <v>21.237623760000002</v>
      </c>
      <c r="D497" s="15">
        <v>11.979632820000001</v>
      </c>
      <c r="E497" s="39">
        <f t="shared" si="97"/>
        <v>214.91989582010424</v>
      </c>
      <c r="F497" s="39">
        <f t="shared" si="106"/>
        <v>0.45103836995746427</v>
      </c>
      <c r="G497" s="39">
        <f t="shared" si="107"/>
        <v>3.8012580543311308E-3</v>
      </c>
      <c r="I497" s="38"/>
    </row>
    <row r="498" spans="1:9" x14ac:dyDescent="0.2">
      <c r="A498" s="1">
        <v>11.928000000000001</v>
      </c>
      <c r="B498" s="15">
        <v>252.50495050000001</v>
      </c>
      <c r="C498" s="15">
        <v>21.06930693</v>
      </c>
      <c r="D498" s="15">
        <v>11.945818259999999</v>
      </c>
      <c r="E498" s="39">
        <f t="shared" si="97"/>
        <v>215.19552884650182</v>
      </c>
      <c r="F498" s="39">
        <f t="shared" si="106"/>
        <v>0.45382227958718957</v>
      </c>
      <c r="G498" s="39">
        <f t="shared" si="107"/>
        <v>3.8221255874983789E-3</v>
      </c>
      <c r="I498" s="38"/>
    </row>
    <row r="499" spans="1:9" x14ac:dyDescent="0.2">
      <c r="A499" s="1">
        <v>11.952</v>
      </c>
      <c r="B499" s="15">
        <v>249.97029699999999</v>
      </c>
      <c r="C499" s="15">
        <v>20.970297030000001</v>
      </c>
      <c r="D499" s="15">
        <v>11.913824679999999</v>
      </c>
      <c r="E499" s="39">
        <f t="shared" si="97"/>
        <v>215.45769214938503</v>
      </c>
      <c r="F499" s="39">
        <f t="shared" si="106"/>
        <v>0.45550260682043331</v>
      </c>
      <c r="G499" s="39">
        <f t="shared" si="107"/>
        <v>3.838120224450862E-3</v>
      </c>
      <c r="I499" s="38"/>
    </row>
    <row r="500" spans="1:9" x14ac:dyDescent="0.2">
      <c r="A500" s="1">
        <v>11.976000000000001</v>
      </c>
      <c r="B500" s="15">
        <v>247.42574260000001</v>
      </c>
      <c r="C500" s="15">
        <v>20.77227723</v>
      </c>
      <c r="D500" s="15">
        <v>11.88765396</v>
      </c>
      <c r="E500" s="39">
        <f t="shared" si="97"/>
        <v>215.67314263210855</v>
      </c>
      <c r="F500" s="39">
        <f t="shared" si="106"/>
        <v>0.45851479253056071</v>
      </c>
      <c r="G500" s="39">
        <f t="shared" si="107"/>
        <v>3.8605497683965326E-3</v>
      </c>
      <c r="I500" s="38"/>
    </row>
    <row r="501" spans="1:9" x14ac:dyDescent="0.2">
      <c r="A501" s="1">
        <v>12</v>
      </c>
      <c r="B501" s="15">
        <v>245.32038829999999</v>
      </c>
      <c r="C501" s="15">
        <v>20.679611649999998</v>
      </c>
      <c r="D501" s="15">
        <v>11.863526269999999</v>
      </c>
      <c r="E501" s="39">
        <f t="shared" si="97"/>
        <v>215.87257779666319</v>
      </c>
      <c r="F501" s="39">
        <f t="shared" ref="F501:F510" si="108" xml:space="preserve"> E501^2*(1/SQRT(C501)-1/SQRT(B501))/(H$7*SQRT(11*103))</f>
        <v>0.4555202205941874</v>
      </c>
      <c r="G501" s="39">
        <f t="shared" ref="G501:G510" si="109" xml:space="preserve"> E501*(1/SQRT(C501)+1/SQRT(B501))/(H$7*SQRT(11*103))</f>
        <v>3.8367405105666371E-3</v>
      </c>
      <c r="I501" s="38"/>
    </row>
    <row r="502" spans="1:9" x14ac:dyDescent="0.2">
      <c r="A502" s="1">
        <v>12.023999999999999</v>
      </c>
      <c r="B502" s="15">
        <v>242.8834951</v>
      </c>
      <c r="C502" s="15">
        <v>20.601941750000002</v>
      </c>
      <c r="D502" s="15">
        <v>11.84337026</v>
      </c>
      <c r="E502" s="39">
        <f t="shared" si="97"/>
        <v>216.03977871566164</v>
      </c>
      <c r="F502" s="39">
        <f t="shared" si="108"/>
        <v>0.45650280102178686</v>
      </c>
      <c r="G502" s="39">
        <f t="shared" si="109"/>
        <v>3.849639610131217E-3</v>
      </c>
      <c r="I502" s="38"/>
    </row>
    <row r="503" spans="1:9" x14ac:dyDescent="0.2">
      <c r="A503" s="1">
        <v>12.048</v>
      </c>
      <c r="B503" s="15">
        <v>240.83495149999999</v>
      </c>
      <c r="C503" s="15">
        <v>20.475728159999999</v>
      </c>
      <c r="D503" s="15">
        <v>11.82157778</v>
      </c>
      <c r="E503" s="39">
        <f t="shared" si="97"/>
        <v>216.22116759129719</v>
      </c>
      <c r="F503" s="39">
        <f t="shared" si="108"/>
        <v>0.45845761868098212</v>
      </c>
      <c r="G503" s="39">
        <f t="shared" si="109"/>
        <v>3.8657421148585863E-3</v>
      </c>
      <c r="I503" s="38"/>
    </row>
    <row r="504" spans="1:9" x14ac:dyDescent="0.2">
      <c r="A504" s="1">
        <v>12.071999999999999</v>
      </c>
      <c r="B504" s="15">
        <v>238.7281553</v>
      </c>
      <c r="C504" s="15">
        <v>20.330097089999999</v>
      </c>
      <c r="D504" s="15">
        <v>11.79711064</v>
      </c>
      <c r="E504" s="39">
        <f t="shared" si="97"/>
        <v>216.42558217710368</v>
      </c>
      <c r="F504" s="39">
        <f t="shared" si="108"/>
        <v>0.4608106283853366</v>
      </c>
      <c r="G504" s="39">
        <f t="shared" si="109"/>
        <v>3.8839538331517523E-3</v>
      </c>
      <c r="I504" s="38"/>
    </row>
    <row r="505" spans="1:9" x14ac:dyDescent="0.2">
      <c r="A505" s="1">
        <v>12.096</v>
      </c>
      <c r="B505" s="15">
        <v>236.3980583</v>
      </c>
      <c r="C505" s="15">
        <v>20.106796119999998</v>
      </c>
      <c r="D505" s="15">
        <v>11.78289856</v>
      </c>
      <c r="E505" s="39">
        <f t="shared" si="97"/>
        <v>216.54469193887411</v>
      </c>
      <c r="F505" s="39">
        <f t="shared" si="108"/>
        <v>0.46399065500215347</v>
      </c>
      <c r="G505" s="39">
        <f t="shared" si="109"/>
        <v>3.9070653445248881E-3</v>
      </c>
      <c r="I505" s="38"/>
    </row>
    <row r="506" spans="1:9" x14ac:dyDescent="0.2">
      <c r="A506" s="1">
        <v>12.12</v>
      </c>
      <c r="B506" s="15">
        <v>234.44660189999999</v>
      </c>
      <c r="C506" s="15">
        <v>19.961165050000002</v>
      </c>
      <c r="D506" s="15">
        <v>11.769362750000001</v>
      </c>
      <c r="E506" s="39">
        <f t="shared" si="97"/>
        <v>216.65838978384551</v>
      </c>
      <c r="F506" s="39">
        <f t="shared" si="108"/>
        <v>0.46607138841301243</v>
      </c>
      <c r="G506" s="39">
        <f t="shared" si="109"/>
        <v>3.9238026610264078E-3</v>
      </c>
      <c r="I506" s="38"/>
    </row>
    <row r="507" spans="1:9" x14ac:dyDescent="0.2">
      <c r="A507" s="1">
        <v>12.144</v>
      </c>
      <c r="B507" s="15">
        <v>232.33980579999999</v>
      </c>
      <c r="C507" s="15">
        <v>19.69902913</v>
      </c>
      <c r="D507" s="15">
        <v>11.761658949999999</v>
      </c>
      <c r="E507" s="39">
        <f t="shared" si="97"/>
        <v>216.72321181917891</v>
      </c>
      <c r="F507" s="39">
        <f t="shared" si="108"/>
        <v>0.46984795158631654</v>
      </c>
      <c r="G507" s="39">
        <f t="shared" si="109"/>
        <v>3.949136431936175E-3</v>
      </c>
      <c r="I507" s="38"/>
    </row>
    <row r="508" spans="1:9" x14ac:dyDescent="0.2">
      <c r="A508" s="1">
        <v>12.167999999999999</v>
      </c>
      <c r="B508" s="15">
        <v>230.21359219999999</v>
      </c>
      <c r="C508" s="15">
        <v>19.5631068</v>
      </c>
      <c r="D508" s="15">
        <v>11.762285329999999</v>
      </c>
      <c r="E508" s="39">
        <f t="shared" si="97"/>
        <v>216.71793823937639</v>
      </c>
      <c r="F508" s="39">
        <f t="shared" si="108"/>
        <v>0.47123450766381692</v>
      </c>
      <c r="G508" s="39">
        <f t="shared" si="109"/>
        <v>3.9637500227897434E-3</v>
      </c>
      <c r="I508" s="38"/>
    </row>
    <row r="509" spans="1:9" x14ac:dyDescent="0.2">
      <c r="A509" s="1">
        <v>12.192</v>
      </c>
      <c r="B509" s="15">
        <v>228.16504850000001</v>
      </c>
      <c r="C509" s="15">
        <v>19.475728159999999</v>
      </c>
      <c r="D509" s="15">
        <v>11.75961075</v>
      </c>
      <c r="E509" s="39">
        <f t="shared" si="97"/>
        <v>216.74045965115658</v>
      </c>
      <c r="F509" s="39">
        <f t="shared" si="108"/>
        <v>0.4719545062344041</v>
      </c>
      <c r="G509" s="39">
        <f t="shared" si="109"/>
        <v>3.9750474862768484E-3</v>
      </c>
      <c r="I509" s="38"/>
    </row>
    <row r="510" spans="1:9" x14ac:dyDescent="0.2">
      <c r="A510" s="1">
        <v>12.215999999999999</v>
      </c>
      <c r="B510" s="15">
        <v>226.368932</v>
      </c>
      <c r="C510" s="15">
        <v>19.242718450000002</v>
      </c>
      <c r="D510" s="15">
        <v>11.76023681</v>
      </c>
      <c r="E510" s="39">
        <f t="shared" si="97"/>
        <v>216.73518700821276</v>
      </c>
      <c r="F510" s="39">
        <f t="shared" si="108"/>
        <v>0.47518480647078581</v>
      </c>
      <c r="G510" s="39">
        <f t="shared" si="109"/>
        <v>3.9970780826122203E-3</v>
      </c>
      <c r="I510" s="38"/>
    </row>
    <row r="511" spans="1:9" x14ac:dyDescent="0.2">
      <c r="A511" s="1">
        <v>12.24</v>
      </c>
      <c r="B511" s="15">
        <v>224.9428571</v>
      </c>
      <c r="C511" s="15">
        <v>19.123809519999998</v>
      </c>
      <c r="D511" s="15">
        <v>11.75881053</v>
      </c>
      <c r="E511" s="39">
        <f t="shared" si="97"/>
        <v>216.74719984233477</v>
      </c>
      <c r="F511" s="39">
        <f t="shared" ref="F511:F520" si="110" xml:space="preserve"> E511^2*(1/SQRT(C511)-1/SQRT(B511))/(H$7*SQRT(11*105))</f>
        <v>0.47213895501467906</v>
      </c>
      <c r="G511" s="39">
        <f t="shared" ref="G511:G520" si="111" xml:space="preserve"> E511*(1/SQRT(C511)+1/SQRT(B511))/(H$7*SQRT(11*105))</f>
        <v>3.9713906667887527E-3</v>
      </c>
      <c r="I511" s="38"/>
    </row>
    <row r="512" spans="1:9" x14ac:dyDescent="0.2">
      <c r="A512" s="1">
        <v>12.263999999999999</v>
      </c>
      <c r="B512" s="15">
        <v>223</v>
      </c>
      <c r="C512" s="15">
        <v>18.93333333</v>
      </c>
      <c r="D512" s="15">
        <v>11.756365750000001</v>
      </c>
      <c r="E512" s="39">
        <f t="shared" si="97"/>
        <v>216.76779747460861</v>
      </c>
      <c r="F512" s="39">
        <f t="shared" si="110"/>
        <v>0.47472853492200373</v>
      </c>
      <c r="G512" s="39">
        <f t="shared" si="111"/>
        <v>3.9910952720156635E-3</v>
      </c>
      <c r="I512" s="38"/>
    </row>
    <row r="513" spans="1:9" x14ac:dyDescent="0.2">
      <c r="A513" s="1">
        <v>12.288</v>
      </c>
      <c r="B513" s="15">
        <v>221.09523809999999</v>
      </c>
      <c r="C513" s="15">
        <v>18.742857140000002</v>
      </c>
      <c r="D513" s="15">
        <v>11.751227249999999</v>
      </c>
      <c r="E513" s="39">
        <f t="shared" si="97"/>
        <v>216.81111683238998</v>
      </c>
      <c r="F513" s="39">
        <f t="shared" si="110"/>
        <v>0.47747579312101773</v>
      </c>
      <c r="G513" s="39">
        <f t="shared" si="111"/>
        <v>4.0114319267878012E-3</v>
      </c>
      <c r="I513" s="38"/>
    </row>
    <row r="514" spans="1:9" x14ac:dyDescent="0.2">
      <c r="A514" s="1">
        <v>12.311999999999999</v>
      </c>
      <c r="B514" s="15">
        <v>219.3428571</v>
      </c>
      <c r="C514" s="15">
        <v>18.695238100000001</v>
      </c>
      <c r="D514" s="15">
        <v>11.74918965</v>
      </c>
      <c r="E514" s="39">
        <f t="shared" si="97"/>
        <v>216.82830455673866</v>
      </c>
      <c r="F514" s="39">
        <f t="shared" si="110"/>
        <v>0.47762695609569772</v>
      </c>
      <c r="G514" s="39">
        <f t="shared" si="111"/>
        <v>4.019311049973732E-3</v>
      </c>
      <c r="I514" s="38"/>
    </row>
    <row r="515" spans="1:9" x14ac:dyDescent="0.2">
      <c r="A515" s="1">
        <v>12.336</v>
      </c>
      <c r="B515" s="15">
        <v>217.08571430000001</v>
      </c>
      <c r="C515" s="15">
        <v>18.47619048</v>
      </c>
      <c r="D515" s="15">
        <v>11.75366464</v>
      </c>
      <c r="E515" s="39">
        <f t="shared" ref="E515:E578" si="112" xml:space="preserve"> H$7/(LN(D515)-H$4)</f>
        <v>216.79056426011721</v>
      </c>
      <c r="F515" s="39">
        <f t="shared" si="110"/>
        <v>0.48042541603095046</v>
      </c>
      <c r="G515" s="39">
        <f t="shared" si="111"/>
        <v>4.0417044964154323E-3</v>
      </c>
      <c r="I515" s="38"/>
    </row>
    <row r="516" spans="1:9" x14ac:dyDescent="0.2">
      <c r="A516" s="1">
        <v>12.36</v>
      </c>
      <c r="B516" s="15">
        <v>215.3714286</v>
      </c>
      <c r="C516" s="15">
        <v>18.34285714</v>
      </c>
      <c r="D516" s="15">
        <v>11.7483358</v>
      </c>
      <c r="E516" s="39">
        <f t="shared" si="112"/>
        <v>216.83550871632383</v>
      </c>
      <c r="F516" s="39">
        <f t="shared" si="110"/>
        <v>0.48230018108302419</v>
      </c>
      <c r="G516" s="39">
        <f t="shared" si="111"/>
        <v>4.0575224514930192E-3</v>
      </c>
      <c r="I516" s="38"/>
    </row>
    <row r="517" spans="1:9" x14ac:dyDescent="0.2">
      <c r="A517" s="1">
        <v>12.384</v>
      </c>
      <c r="B517" s="15">
        <v>213.49523809999999</v>
      </c>
      <c r="C517" s="15">
        <v>18.219047620000001</v>
      </c>
      <c r="D517" s="15">
        <v>11.738656949999999</v>
      </c>
      <c r="E517" s="39">
        <f t="shared" si="112"/>
        <v>216.91724188577714</v>
      </c>
      <c r="F517" s="39">
        <f t="shared" si="110"/>
        <v>0.48410368259686826</v>
      </c>
      <c r="G517" s="39">
        <f t="shared" si="111"/>
        <v>4.0737303257374945E-3</v>
      </c>
      <c r="I517" s="38"/>
    </row>
    <row r="518" spans="1:9" x14ac:dyDescent="0.2">
      <c r="A518" s="1">
        <v>12.407999999999999</v>
      </c>
      <c r="B518" s="15">
        <v>211.17142860000001</v>
      </c>
      <c r="C518" s="15">
        <v>17.990476189999999</v>
      </c>
      <c r="D518" s="15">
        <v>11.731580129999999</v>
      </c>
      <c r="E518" s="39">
        <f t="shared" si="112"/>
        <v>216.97708388870123</v>
      </c>
      <c r="F518" s="39">
        <f t="shared" si="110"/>
        <v>0.48760709349350878</v>
      </c>
      <c r="G518" s="39">
        <f t="shared" si="111"/>
        <v>4.0998794412228151E-3</v>
      </c>
      <c r="I518" s="38"/>
    </row>
    <row r="519" spans="1:9" x14ac:dyDescent="0.2">
      <c r="A519" s="1">
        <v>12.432</v>
      </c>
      <c r="B519" s="15">
        <v>209.51428569999999</v>
      </c>
      <c r="C519" s="15">
        <v>17.838095240000001</v>
      </c>
      <c r="D519" s="15">
        <v>11.71825602</v>
      </c>
      <c r="E519" s="39">
        <f t="shared" si="112"/>
        <v>217.08994114968806</v>
      </c>
      <c r="F519" s="39">
        <f t="shared" si="110"/>
        <v>0.49025829748896105</v>
      </c>
      <c r="G519" s="39">
        <f t="shared" si="111"/>
        <v>4.1192031519384359E-3</v>
      </c>
      <c r="I519" s="38"/>
    </row>
    <row r="520" spans="1:9" x14ac:dyDescent="0.2">
      <c r="A520" s="1">
        <v>12.456</v>
      </c>
      <c r="B520" s="15">
        <v>207.50476190000001</v>
      </c>
      <c r="C520" s="15">
        <v>17.638095239999998</v>
      </c>
      <c r="D520" s="15">
        <v>11.71190193</v>
      </c>
      <c r="E520" s="39">
        <f t="shared" si="112"/>
        <v>217.14384786623214</v>
      </c>
      <c r="F520" s="39">
        <f t="shared" si="110"/>
        <v>0.49344123230988107</v>
      </c>
      <c r="G520" s="39">
        <f t="shared" si="111"/>
        <v>4.1427539254137525E-3</v>
      </c>
      <c r="I520" s="38"/>
    </row>
    <row r="521" spans="1:9" x14ac:dyDescent="0.2">
      <c r="A521" s="1">
        <v>12.48</v>
      </c>
      <c r="B521" s="15">
        <v>205.99065419999999</v>
      </c>
      <c r="C521" s="15">
        <v>17.59813084</v>
      </c>
      <c r="D521" s="15">
        <v>11.703988600000001</v>
      </c>
      <c r="E521" s="39">
        <f t="shared" si="112"/>
        <v>217.21106122129311</v>
      </c>
      <c r="F521" s="39">
        <f t="shared" ref="F521:F530" si="113" xml:space="preserve"> E521^2*(1/SQRT(C521)-1/SQRT(B521))/(H$7*SQRT(11*107))</f>
        <v>0.4891556088650309</v>
      </c>
      <c r="G521" s="39">
        <f t="shared" ref="G521:G530" si="114" xml:space="preserve"> E521*(1/SQRT(C521)+1/SQRT(B521))/(H$7*SQRT(11*107))</f>
        <v>4.1121307092199062E-3</v>
      </c>
      <c r="I521" s="38"/>
    </row>
    <row r="522" spans="1:9" x14ac:dyDescent="0.2">
      <c r="A522" s="1">
        <v>12.504</v>
      </c>
      <c r="B522" s="15">
        <v>203.92523360000001</v>
      </c>
      <c r="C522" s="15">
        <v>17.495327100000001</v>
      </c>
      <c r="D522" s="15">
        <v>11.69533775</v>
      </c>
      <c r="E522" s="39">
        <f t="shared" si="112"/>
        <v>217.28463853053887</v>
      </c>
      <c r="F522" s="39">
        <f t="shared" si="113"/>
        <v>0.49049497098866379</v>
      </c>
      <c r="G522" s="39">
        <f t="shared" si="114"/>
        <v>4.1275618678627913E-3</v>
      </c>
      <c r="I522" s="38"/>
    </row>
    <row r="523" spans="1:9" x14ac:dyDescent="0.2">
      <c r="A523" s="1">
        <v>12.528</v>
      </c>
      <c r="B523" s="15">
        <v>202.51401870000001</v>
      </c>
      <c r="C523" s="15">
        <v>17.308411209999999</v>
      </c>
      <c r="D523" s="15">
        <v>11.6850962</v>
      </c>
      <c r="E523" s="39">
        <f t="shared" si="112"/>
        <v>217.37188001132287</v>
      </c>
      <c r="F523" s="39">
        <f t="shared" si="113"/>
        <v>0.49392014706734794</v>
      </c>
      <c r="G523" s="39">
        <f t="shared" si="114"/>
        <v>4.1496714289736203E-3</v>
      </c>
      <c r="I523" s="38"/>
    </row>
    <row r="524" spans="1:9" x14ac:dyDescent="0.2">
      <c r="A524" s="1">
        <v>12.552</v>
      </c>
      <c r="B524" s="15">
        <v>200.7663551</v>
      </c>
      <c r="C524" s="15">
        <v>17.233644859999998</v>
      </c>
      <c r="D524" s="15">
        <v>11.67154232</v>
      </c>
      <c r="E524" s="39">
        <f t="shared" si="112"/>
        <v>217.48756276737188</v>
      </c>
      <c r="F524" s="39">
        <f t="shared" si="113"/>
        <v>0.49507286568984116</v>
      </c>
      <c r="G524" s="39">
        <f t="shared" si="114"/>
        <v>4.162920260093423E-3</v>
      </c>
      <c r="I524" s="38"/>
    </row>
    <row r="525" spans="1:9" x14ac:dyDescent="0.2">
      <c r="A525" s="1">
        <v>12.576000000000001</v>
      </c>
      <c r="B525" s="15">
        <v>199.35514019999999</v>
      </c>
      <c r="C525" s="15">
        <v>17.09345794</v>
      </c>
      <c r="D525" s="15">
        <v>11.6596855</v>
      </c>
      <c r="E525" s="39">
        <f t="shared" si="112"/>
        <v>217.58897246102228</v>
      </c>
      <c r="F525" s="39">
        <f t="shared" si="113"/>
        <v>0.49767729061164079</v>
      </c>
      <c r="G525" s="39">
        <f t="shared" si="114"/>
        <v>4.1813773343985184E-3</v>
      </c>
      <c r="I525" s="38"/>
    </row>
    <row r="526" spans="1:9" x14ac:dyDescent="0.2">
      <c r="A526" s="1">
        <v>12.6</v>
      </c>
      <c r="B526" s="15">
        <v>197.60747660000001</v>
      </c>
      <c r="C526" s="15">
        <v>16.943925230000001</v>
      </c>
      <c r="D526" s="15">
        <v>11.645756609999999</v>
      </c>
      <c r="E526" s="39">
        <f t="shared" si="112"/>
        <v>217.70835716570127</v>
      </c>
      <c r="F526" s="39">
        <f t="shared" si="113"/>
        <v>0.50041523484993122</v>
      </c>
      <c r="G526" s="39">
        <f t="shared" si="114"/>
        <v>4.2021006968605105E-3</v>
      </c>
      <c r="I526" s="38"/>
    </row>
    <row r="527" spans="1:9" x14ac:dyDescent="0.2">
      <c r="A527" s="1">
        <v>12.624000000000001</v>
      </c>
      <c r="B527" s="15">
        <v>195.70093460000001</v>
      </c>
      <c r="C527" s="15">
        <v>16.803738320000001</v>
      </c>
      <c r="D527" s="15">
        <v>11.637951259999999</v>
      </c>
      <c r="E527" s="39">
        <f t="shared" si="112"/>
        <v>217.77537673369906</v>
      </c>
      <c r="F527" s="39">
        <f t="shared" si="113"/>
        <v>0.50266327509465658</v>
      </c>
      <c r="G527" s="39">
        <f t="shared" si="114"/>
        <v>4.2215547062235247E-3</v>
      </c>
      <c r="I527" s="38"/>
    </row>
    <row r="528" spans="1:9" x14ac:dyDescent="0.2">
      <c r="A528" s="1">
        <v>12.648</v>
      </c>
      <c r="B528" s="15">
        <v>194.14953270000001</v>
      </c>
      <c r="C528" s="15">
        <v>16.728971959999999</v>
      </c>
      <c r="D528" s="15">
        <v>11.6355054</v>
      </c>
      <c r="E528" s="39">
        <f t="shared" si="112"/>
        <v>217.79639552122305</v>
      </c>
      <c r="F528" s="39">
        <f t="shared" si="113"/>
        <v>0.50351677126802818</v>
      </c>
      <c r="G528" s="39">
        <f t="shared" si="114"/>
        <v>4.2330656138705007E-3</v>
      </c>
      <c r="I528" s="38"/>
    </row>
    <row r="529" spans="1:9" x14ac:dyDescent="0.2">
      <c r="A529" s="1">
        <v>12.672000000000001</v>
      </c>
      <c r="B529" s="15">
        <v>192.57009350000001</v>
      </c>
      <c r="C529" s="15">
        <v>16.616822429999999</v>
      </c>
      <c r="D529" s="15">
        <v>11.62261717</v>
      </c>
      <c r="E529" s="39">
        <f t="shared" si="112"/>
        <v>217.90729221860101</v>
      </c>
      <c r="F529" s="39">
        <f t="shared" si="113"/>
        <v>0.50557612995759382</v>
      </c>
      <c r="G529" s="39">
        <f t="shared" si="114"/>
        <v>4.2501845478888816E-3</v>
      </c>
      <c r="I529" s="38"/>
    </row>
    <row r="530" spans="1:9" x14ac:dyDescent="0.2">
      <c r="A530" s="1">
        <v>12.696</v>
      </c>
      <c r="B530" s="15">
        <v>190.83177570000001</v>
      </c>
      <c r="C530" s="15">
        <v>16.429906540000001</v>
      </c>
      <c r="D530" s="15">
        <v>11.61181687</v>
      </c>
      <c r="E530" s="39">
        <f t="shared" si="112"/>
        <v>218.00040521666725</v>
      </c>
      <c r="F530" s="39">
        <f t="shared" si="113"/>
        <v>0.50911586252409802</v>
      </c>
      <c r="G530" s="39">
        <f t="shared" si="114"/>
        <v>4.275029904291113E-3</v>
      </c>
      <c r="I530" s="38"/>
    </row>
    <row r="531" spans="1:9" x14ac:dyDescent="0.2">
      <c r="A531" s="1">
        <v>12.72</v>
      </c>
      <c r="B531" s="15">
        <v>189.40366969999999</v>
      </c>
      <c r="C531" s="15">
        <v>16.31192661</v>
      </c>
      <c r="D531" s="15">
        <v>11.601373990000001</v>
      </c>
      <c r="E531" s="39">
        <f t="shared" si="112"/>
        <v>218.09059497141709</v>
      </c>
      <c r="F531" s="39">
        <f t="shared" ref="F531:F540" si="115" xml:space="preserve"> E531^2*(1/SQRT(C531)-1/SQRT(B531))/(H$7*SQRT(11*109))</f>
        <v>0.50663122189163923</v>
      </c>
      <c r="G531" s="39">
        <f t="shared" ref="G531:G540" si="116" xml:space="preserve"> E531*(1/SQRT(C531)+1/SQRT(B531))/(H$7*SQRT(11*109))</f>
        <v>4.2528236749274839E-3</v>
      </c>
      <c r="I531" s="38"/>
    </row>
    <row r="532" spans="1:9" x14ac:dyDescent="0.2">
      <c r="A532" s="1">
        <v>12.744</v>
      </c>
      <c r="B532" s="15">
        <v>187.93577980000001</v>
      </c>
      <c r="C532" s="15">
        <v>16.174311929999998</v>
      </c>
      <c r="D532" s="15">
        <v>11.58679308</v>
      </c>
      <c r="E532" s="39">
        <f t="shared" si="112"/>
        <v>218.21678378199385</v>
      </c>
      <c r="F532" s="39">
        <f t="shared" si="115"/>
        <v>0.50944405322679198</v>
      </c>
      <c r="G532" s="39">
        <f t="shared" si="116"/>
        <v>4.2730131053115199E-3</v>
      </c>
      <c r="I532" s="38"/>
    </row>
    <row r="533" spans="1:9" x14ac:dyDescent="0.2">
      <c r="A533" s="1">
        <v>12.768000000000001</v>
      </c>
      <c r="B533" s="15">
        <v>186.3853211</v>
      </c>
      <c r="C533" s="15">
        <v>16.027522940000001</v>
      </c>
      <c r="D533" s="15">
        <v>11.57696303</v>
      </c>
      <c r="E533" s="39">
        <f t="shared" si="112"/>
        <v>218.30202903133394</v>
      </c>
      <c r="F533" s="39">
        <f t="shared" si="115"/>
        <v>0.51226005470923763</v>
      </c>
      <c r="G533" s="39">
        <f t="shared" si="116"/>
        <v>4.293807223674148E-3</v>
      </c>
      <c r="I533" s="38"/>
    </row>
    <row r="534" spans="1:9" x14ac:dyDescent="0.2">
      <c r="A534" s="1">
        <v>12.792</v>
      </c>
      <c r="B534" s="15">
        <v>184.7247706</v>
      </c>
      <c r="C534" s="15">
        <v>15.981651380000001</v>
      </c>
      <c r="D534" s="15">
        <v>11.571540860000001</v>
      </c>
      <c r="E534" s="39">
        <f t="shared" si="112"/>
        <v>218.34910907967415</v>
      </c>
      <c r="F534" s="39">
        <f t="shared" si="115"/>
        <v>0.51256733871080573</v>
      </c>
      <c r="G534" s="39">
        <f t="shared" si="116"/>
        <v>4.3038630115706973E-3</v>
      </c>
      <c r="I534" s="38"/>
    </row>
    <row r="535" spans="1:9" x14ac:dyDescent="0.2">
      <c r="A535" s="1">
        <v>12.816000000000001</v>
      </c>
      <c r="B535" s="15">
        <v>183.33027519999999</v>
      </c>
      <c r="C535" s="15">
        <v>15.899082569999999</v>
      </c>
      <c r="D535" s="15">
        <v>11.563544029999999</v>
      </c>
      <c r="E535" s="39">
        <f t="shared" si="112"/>
        <v>218.41862197273079</v>
      </c>
      <c r="F535" s="39">
        <f t="shared" si="115"/>
        <v>0.5139667771123414</v>
      </c>
      <c r="G535" s="39">
        <f t="shared" si="116"/>
        <v>4.3175747857579138E-3</v>
      </c>
      <c r="I535" s="38"/>
    </row>
    <row r="536" spans="1:9" x14ac:dyDescent="0.2">
      <c r="A536" s="1">
        <v>12.84</v>
      </c>
      <c r="B536" s="15">
        <v>181.79816510000001</v>
      </c>
      <c r="C536" s="15">
        <v>15.743119269999999</v>
      </c>
      <c r="D536" s="15">
        <v>11.55145858</v>
      </c>
      <c r="E536" s="39">
        <f t="shared" si="112"/>
        <v>218.52385084587934</v>
      </c>
      <c r="F536" s="39">
        <f t="shared" si="115"/>
        <v>0.5171622797977079</v>
      </c>
      <c r="G536" s="39">
        <f t="shared" si="116"/>
        <v>4.3402755420266503E-3</v>
      </c>
      <c r="I536" s="38"/>
    </row>
    <row r="537" spans="1:9" x14ac:dyDescent="0.2">
      <c r="A537" s="1">
        <v>12.864000000000001</v>
      </c>
      <c r="B537" s="15">
        <v>180.3394495</v>
      </c>
      <c r="C537" s="15">
        <v>15.678899080000001</v>
      </c>
      <c r="D537" s="15">
        <v>11.54422345</v>
      </c>
      <c r="E537" s="39">
        <f t="shared" si="112"/>
        <v>218.58694892346554</v>
      </c>
      <c r="F537" s="39">
        <f t="shared" si="115"/>
        <v>0.51809019511946042</v>
      </c>
      <c r="G537" s="39">
        <f t="shared" si="116"/>
        <v>4.3523757470911566E-3</v>
      </c>
      <c r="I537" s="38"/>
    </row>
    <row r="538" spans="1:9" x14ac:dyDescent="0.2">
      <c r="A538" s="1">
        <v>12.888</v>
      </c>
      <c r="B538" s="15">
        <v>179</v>
      </c>
      <c r="C538" s="15">
        <v>15.51376147</v>
      </c>
      <c r="D538" s="15">
        <v>11.538957910000001</v>
      </c>
      <c r="E538" s="39">
        <f t="shared" si="112"/>
        <v>218.63291786800087</v>
      </c>
      <c r="F538" s="39">
        <f t="shared" si="115"/>
        <v>0.52140048513416126</v>
      </c>
      <c r="G538" s="39">
        <f t="shared" si="116"/>
        <v>4.3748391992535678E-3</v>
      </c>
      <c r="I538" s="38"/>
    </row>
    <row r="539" spans="1:9" x14ac:dyDescent="0.2">
      <c r="A539" s="1">
        <v>12.912000000000001</v>
      </c>
      <c r="B539" s="15">
        <v>177.53211010000001</v>
      </c>
      <c r="C539" s="15">
        <v>15.37614679</v>
      </c>
      <c r="D539" s="15">
        <v>11.53297128</v>
      </c>
      <c r="E539" s="39">
        <f t="shared" si="112"/>
        <v>218.68523103530387</v>
      </c>
      <c r="F539" s="39">
        <f t="shared" si="115"/>
        <v>0.52405303675761294</v>
      </c>
      <c r="G539" s="39">
        <f t="shared" si="116"/>
        <v>4.3950864777435022E-3</v>
      </c>
      <c r="I539" s="38"/>
    </row>
    <row r="540" spans="1:9" x14ac:dyDescent="0.2">
      <c r="A540" s="1">
        <v>12.936</v>
      </c>
      <c r="B540" s="15">
        <v>176.10091739999999</v>
      </c>
      <c r="C540" s="15">
        <v>15.31192661</v>
      </c>
      <c r="D540" s="15">
        <v>11.53058169</v>
      </c>
      <c r="E540" s="39">
        <f t="shared" si="112"/>
        <v>218.70612664647129</v>
      </c>
      <c r="F540" s="39">
        <f t="shared" si="115"/>
        <v>0.524822692505577</v>
      </c>
      <c r="G540" s="39">
        <f t="shared" si="116"/>
        <v>4.4066738309179341E-3</v>
      </c>
      <c r="I540" s="38"/>
    </row>
    <row r="541" spans="1:9" x14ac:dyDescent="0.2">
      <c r="A541" s="1">
        <v>12.96</v>
      </c>
      <c r="B541" s="15">
        <v>174.91891889999999</v>
      </c>
      <c r="C541" s="15">
        <v>15.23423423</v>
      </c>
      <c r="D541" s="15">
        <v>11.531241359999999</v>
      </c>
      <c r="E541" s="39">
        <f t="shared" si="112"/>
        <v>218.70035737422134</v>
      </c>
      <c r="F541" s="39">
        <f t="shared" ref="F541:F550" si="117" xml:space="preserve"> E541^2*(1/SQRT(C541)-1/SQRT(B541))/(H$7*SQRT(11*111))</f>
        <v>0.5211903168911467</v>
      </c>
      <c r="G541" s="39">
        <f t="shared" ref="G541:G550" si="118" xml:space="preserve"> E541*(1/SQRT(C541)+1/SQRT(B541))/(H$7*SQRT(11*111))</f>
        <v>4.3786206678414754E-3</v>
      </c>
      <c r="I541" s="38"/>
    </row>
    <row r="542" spans="1:9" x14ac:dyDescent="0.2">
      <c r="A542" s="1">
        <v>12.984</v>
      </c>
      <c r="B542" s="15">
        <v>173.2882883</v>
      </c>
      <c r="C542" s="15">
        <v>15.027027029999999</v>
      </c>
      <c r="D542" s="15">
        <v>11.53253632</v>
      </c>
      <c r="E542" s="39">
        <f t="shared" si="112"/>
        <v>218.68903389459587</v>
      </c>
      <c r="F542" s="39">
        <f t="shared" si="117"/>
        <v>0.52519198710889647</v>
      </c>
      <c r="G542" s="39">
        <f t="shared" si="118"/>
        <v>4.4063054614289698E-3</v>
      </c>
      <c r="I542" s="38"/>
    </row>
    <row r="543" spans="1:9" x14ac:dyDescent="0.2">
      <c r="A543" s="1">
        <v>13.007999999999999</v>
      </c>
      <c r="B543" s="15">
        <v>171.963964</v>
      </c>
      <c r="C543" s="15">
        <v>14.873873870000001</v>
      </c>
      <c r="D543" s="15">
        <v>11.530128680000001</v>
      </c>
      <c r="E543" s="39">
        <f t="shared" si="112"/>
        <v>218.71008890097019</v>
      </c>
      <c r="F543" s="39">
        <f t="shared" si="117"/>
        <v>0.52827388646606177</v>
      </c>
      <c r="G543" s="39">
        <f t="shared" si="118"/>
        <v>4.4280639681065779E-3</v>
      </c>
      <c r="I543" s="38"/>
    </row>
    <row r="544" spans="1:9" x14ac:dyDescent="0.2">
      <c r="A544" s="1">
        <v>13.032</v>
      </c>
      <c r="B544" s="15">
        <v>170.5315315</v>
      </c>
      <c r="C544" s="15">
        <v>14.74774775</v>
      </c>
      <c r="D544" s="15">
        <v>11.526805059999999</v>
      </c>
      <c r="E544" s="39">
        <f t="shared" si="112"/>
        <v>218.73916811618128</v>
      </c>
      <c r="F544" s="39">
        <f t="shared" si="117"/>
        <v>0.53068582907526263</v>
      </c>
      <c r="G544" s="39">
        <f t="shared" si="118"/>
        <v>4.4474734444061512E-3</v>
      </c>
      <c r="I544" s="38"/>
    </row>
    <row r="545" spans="1:9" x14ac:dyDescent="0.2">
      <c r="A545" s="1">
        <v>13.055999999999999</v>
      </c>
      <c r="B545" s="15">
        <v>169.036036</v>
      </c>
      <c r="C545" s="15">
        <v>14.65765766</v>
      </c>
      <c r="D545" s="15">
        <v>11.51823894</v>
      </c>
      <c r="E545" s="39">
        <f t="shared" si="112"/>
        <v>218.81418968875244</v>
      </c>
      <c r="F545" s="39">
        <f t="shared" si="117"/>
        <v>0.53238175963735312</v>
      </c>
      <c r="G545" s="39">
        <f t="shared" si="118"/>
        <v>4.4640105234261046E-3</v>
      </c>
      <c r="I545" s="38"/>
    </row>
    <row r="546" spans="1:9" x14ac:dyDescent="0.2">
      <c r="A546" s="1">
        <v>13.08</v>
      </c>
      <c r="B546" s="15">
        <v>167.66666670000001</v>
      </c>
      <c r="C546" s="15">
        <v>14.531531530000001</v>
      </c>
      <c r="D546" s="15">
        <v>11.50913463</v>
      </c>
      <c r="E546" s="39">
        <f t="shared" si="112"/>
        <v>218.89404238220416</v>
      </c>
      <c r="F546" s="39">
        <f t="shared" si="117"/>
        <v>0.53513420528578037</v>
      </c>
      <c r="G546" s="39">
        <f t="shared" si="118"/>
        <v>4.4847183285977414E-3</v>
      </c>
      <c r="I546" s="38"/>
    </row>
    <row r="547" spans="1:9" x14ac:dyDescent="0.2">
      <c r="A547" s="1">
        <v>13.103999999999999</v>
      </c>
      <c r="B547" s="15">
        <v>166.24324319999999</v>
      </c>
      <c r="C547" s="15">
        <v>14.378378379999999</v>
      </c>
      <c r="D547" s="15">
        <v>11.49999822</v>
      </c>
      <c r="E547" s="39">
        <f t="shared" si="112"/>
        <v>218.9742988294762</v>
      </c>
      <c r="F547" s="39">
        <f t="shared" si="117"/>
        <v>0.53860354986035552</v>
      </c>
      <c r="G547" s="39">
        <f t="shared" si="118"/>
        <v>4.5091320059918978E-3</v>
      </c>
      <c r="I547" s="38"/>
    </row>
    <row r="548" spans="1:9" x14ac:dyDescent="0.2">
      <c r="A548" s="1">
        <v>13.128</v>
      </c>
      <c r="B548" s="15">
        <v>165</v>
      </c>
      <c r="C548" s="15">
        <v>14.378378379999999</v>
      </c>
      <c r="D548" s="15">
        <v>11.481151560000001</v>
      </c>
      <c r="E548" s="39">
        <f t="shared" si="112"/>
        <v>219.14024052050391</v>
      </c>
      <c r="F548" s="39">
        <f t="shared" si="117"/>
        <v>0.53857511982919393</v>
      </c>
      <c r="G548" s="39">
        <f t="shared" si="118"/>
        <v>4.5164053461207096E-3</v>
      </c>
      <c r="I548" s="38"/>
    </row>
    <row r="549" spans="1:9" x14ac:dyDescent="0.2">
      <c r="A549" s="1">
        <v>13.151999999999999</v>
      </c>
      <c r="B549" s="15">
        <v>163.61261260000001</v>
      </c>
      <c r="C549" s="15">
        <v>14.225225229999999</v>
      </c>
      <c r="D549" s="15">
        <v>11.460604780000001</v>
      </c>
      <c r="E549" s="39">
        <f t="shared" si="112"/>
        <v>219.32174968310025</v>
      </c>
      <c r="F549" s="39">
        <f t="shared" si="117"/>
        <v>0.54262102623424724</v>
      </c>
      <c r="G549" s="39">
        <f t="shared" si="118"/>
        <v>4.5432414653314842E-3</v>
      </c>
      <c r="I549" s="38"/>
    </row>
    <row r="550" spans="1:9" x14ac:dyDescent="0.2">
      <c r="A550" s="1">
        <v>13.176</v>
      </c>
      <c r="B550" s="15">
        <v>162.38738739999999</v>
      </c>
      <c r="C550" s="15">
        <v>14.180180180000001</v>
      </c>
      <c r="D550" s="15">
        <v>11.444661330000001</v>
      </c>
      <c r="E550" s="39">
        <f t="shared" si="112"/>
        <v>219.46302542269311</v>
      </c>
      <c r="F550" s="39">
        <f t="shared" si="117"/>
        <v>0.54368765812353881</v>
      </c>
      <c r="G550" s="39">
        <f t="shared" si="118"/>
        <v>4.5556381594388812E-3</v>
      </c>
      <c r="I550" s="38"/>
    </row>
    <row r="551" spans="1:9" x14ac:dyDescent="0.2">
      <c r="A551" s="1">
        <v>13.2</v>
      </c>
      <c r="B551" s="15">
        <v>161.12389379999999</v>
      </c>
      <c r="C551" s="15">
        <v>14.132743359999999</v>
      </c>
      <c r="D551" s="15">
        <v>11.42807086</v>
      </c>
      <c r="E551" s="39">
        <f t="shared" si="112"/>
        <v>219.61043732566154</v>
      </c>
      <c r="F551" s="39">
        <f t="shared" ref="F551:F560" si="119" xml:space="preserve"> E551^2*(1/SQRT(C551)-1/SQRT(B551))/(H$7*SQRT(11*113))</f>
        <v>0.53997755533797875</v>
      </c>
      <c r="G551" s="39">
        <f t="shared" ref="G551:G560" si="120" xml:space="preserve"> E551*(1/SQRT(C551)+1/SQRT(B551))/(H$7*SQRT(11*113))</f>
        <v>4.5280566968389302E-3</v>
      </c>
      <c r="I551" s="38"/>
    </row>
    <row r="552" spans="1:9" x14ac:dyDescent="0.2">
      <c r="A552" s="1">
        <v>13.224</v>
      </c>
      <c r="B552" s="15">
        <v>159.7433628</v>
      </c>
      <c r="C552" s="15">
        <v>14.03539823</v>
      </c>
      <c r="D552" s="15">
        <v>11.40787079</v>
      </c>
      <c r="E552" s="39">
        <f t="shared" si="112"/>
        <v>219.79047915162204</v>
      </c>
      <c r="F552" s="39">
        <f t="shared" si="119"/>
        <v>0.54254224225060554</v>
      </c>
      <c r="G552" s="39">
        <f t="shared" si="120"/>
        <v>4.5483373123299279E-3</v>
      </c>
      <c r="I552" s="38"/>
    </row>
    <row r="553" spans="1:9" x14ac:dyDescent="0.2">
      <c r="A553" s="1">
        <v>13.247999999999999</v>
      </c>
      <c r="B553" s="15">
        <v>158.14159290000001</v>
      </c>
      <c r="C553" s="15">
        <v>13.96460177</v>
      </c>
      <c r="D553" s="15">
        <v>11.382964210000001</v>
      </c>
      <c r="E553" s="39">
        <f t="shared" si="112"/>
        <v>220.01331721286877</v>
      </c>
      <c r="F553" s="39">
        <f t="shared" si="119"/>
        <v>0.54444209243508568</v>
      </c>
      <c r="G553" s="39">
        <f t="shared" si="120"/>
        <v>4.5670984420383351E-3</v>
      </c>
      <c r="I553" s="38"/>
    </row>
    <row r="554" spans="1:9" x14ac:dyDescent="0.2">
      <c r="A554" s="1">
        <v>13.272</v>
      </c>
      <c r="B554" s="15">
        <v>156.99115040000001</v>
      </c>
      <c r="C554" s="15">
        <v>13.849557519999999</v>
      </c>
      <c r="D554" s="15">
        <v>11.36259342</v>
      </c>
      <c r="E554" s="39">
        <f t="shared" si="112"/>
        <v>220.19627370588671</v>
      </c>
      <c r="F554" s="39">
        <f t="shared" si="119"/>
        <v>0.54772067695856075</v>
      </c>
      <c r="G554" s="39">
        <f t="shared" si="120"/>
        <v>4.5893312092709472E-3</v>
      </c>
      <c r="I554" s="38"/>
    </row>
    <row r="555" spans="1:9" x14ac:dyDescent="0.2">
      <c r="A555" s="1">
        <v>13.295999999999999</v>
      </c>
      <c r="B555" s="15">
        <v>155.90265489999999</v>
      </c>
      <c r="C555" s="15">
        <v>13.69026549</v>
      </c>
      <c r="D555" s="15">
        <v>11.340736679999999</v>
      </c>
      <c r="E555" s="39">
        <f t="shared" si="112"/>
        <v>220.393280754513</v>
      </c>
      <c r="F555" s="39">
        <f t="shared" si="119"/>
        <v>0.55242107024994636</v>
      </c>
      <c r="G555" s="39">
        <f t="shared" si="120"/>
        <v>4.6176470342604824E-3</v>
      </c>
      <c r="I555" s="38"/>
    </row>
    <row r="556" spans="1:9" x14ac:dyDescent="0.2">
      <c r="A556" s="1">
        <v>13.32</v>
      </c>
      <c r="B556" s="15">
        <v>154.7787611</v>
      </c>
      <c r="C556" s="15">
        <v>13.63716814</v>
      </c>
      <c r="D556" s="15">
        <v>11.327866119999999</v>
      </c>
      <c r="E556" s="39">
        <f t="shared" si="112"/>
        <v>220.50963336928993</v>
      </c>
      <c r="F556" s="39">
        <f t="shared" si="119"/>
        <v>0.55368898678871037</v>
      </c>
      <c r="G556" s="39">
        <f t="shared" si="120"/>
        <v>4.6308438404427266E-3</v>
      </c>
      <c r="I556" s="38"/>
    </row>
    <row r="557" spans="1:9" x14ac:dyDescent="0.2">
      <c r="A557" s="1">
        <v>13.343999999999999</v>
      </c>
      <c r="B557" s="15">
        <v>153.41592919999999</v>
      </c>
      <c r="C557" s="15">
        <v>13.55752212</v>
      </c>
      <c r="D557" s="15">
        <v>11.316690060000001</v>
      </c>
      <c r="E557" s="39">
        <f t="shared" si="112"/>
        <v>220.61087448515892</v>
      </c>
      <c r="F557" s="39">
        <f t="shared" si="119"/>
        <v>0.55547238118451747</v>
      </c>
      <c r="G557" s="39">
        <f t="shared" si="120"/>
        <v>4.6481479778225599E-3</v>
      </c>
      <c r="I557" s="38"/>
    </row>
    <row r="558" spans="1:9" x14ac:dyDescent="0.2">
      <c r="A558" s="1">
        <v>13.368</v>
      </c>
      <c r="B558" s="15">
        <v>152.23893810000001</v>
      </c>
      <c r="C558" s="15">
        <v>13.486725659999999</v>
      </c>
      <c r="D558" s="15">
        <v>11.315565790000001</v>
      </c>
      <c r="E558" s="39">
        <f t="shared" si="112"/>
        <v>220.62106964815865</v>
      </c>
      <c r="F558" s="39">
        <f t="shared" si="119"/>
        <v>0.55668920249405762</v>
      </c>
      <c r="G558" s="39">
        <f t="shared" si="120"/>
        <v>4.6618647926553146E-3</v>
      </c>
      <c r="I558" s="38"/>
    </row>
    <row r="559" spans="1:9" x14ac:dyDescent="0.2">
      <c r="A559" s="1">
        <v>13.391999999999999</v>
      </c>
      <c r="B559" s="15">
        <v>150.8495575</v>
      </c>
      <c r="C559" s="15">
        <v>13.40707965</v>
      </c>
      <c r="D559" s="15">
        <v>11.31766839</v>
      </c>
      <c r="E559" s="39">
        <f t="shared" si="112"/>
        <v>220.60200433349746</v>
      </c>
      <c r="F559" s="39">
        <f t="shared" si="119"/>
        <v>0.55785962569418091</v>
      </c>
      <c r="G559" s="39">
        <f t="shared" si="120"/>
        <v>4.6770287920547731E-3</v>
      </c>
      <c r="I559" s="38"/>
    </row>
    <row r="560" spans="1:9" x14ac:dyDescent="0.2">
      <c r="A560" s="1">
        <v>13.416</v>
      </c>
      <c r="B560" s="15">
        <v>149.58407080000001</v>
      </c>
      <c r="C560" s="15">
        <v>13.28318584</v>
      </c>
      <c r="D560" s="15">
        <v>11.31579816</v>
      </c>
      <c r="E560" s="39">
        <f t="shared" si="112"/>
        <v>220.618962298284</v>
      </c>
      <c r="F560" s="39">
        <f t="shared" si="119"/>
        <v>0.5606436568513572</v>
      </c>
      <c r="G560" s="39">
        <f t="shared" si="120"/>
        <v>4.6986873158570454E-3</v>
      </c>
      <c r="I560" s="38"/>
    </row>
    <row r="561" spans="1:9" x14ac:dyDescent="0.2">
      <c r="A561" s="1">
        <v>13.44</v>
      </c>
      <c r="B561" s="15">
        <v>148.40869570000001</v>
      </c>
      <c r="C561" s="15">
        <v>13.12173913</v>
      </c>
      <c r="D561" s="15">
        <v>11.31011138</v>
      </c>
      <c r="E561" s="39">
        <f t="shared" si="112"/>
        <v>220.6705593773452</v>
      </c>
      <c r="F561" s="39">
        <f t="shared" ref="F561:F570" si="121" xml:space="preserve"> E561^2*(1/SQRT(C561)-1/SQRT(B561))/(H$7*SQRT(11*115))</f>
        <v>0.55993187208618311</v>
      </c>
      <c r="G561" s="39">
        <f t="shared" ref="G561:G570" si="122" xml:space="preserve"> E561*(1/SQRT(C561)+1/SQRT(B561))/(H$7*SQRT(11*115))</f>
        <v>4.6849789910188904E-3</v>
      </c>
      <c r="I561" s="38"/>
    </row>
    <row r="562" spans="1:9" x14ac:dyDescent="0.2">
      <c r="A562" s="1">
        <v>13.464</v>
      </c>
      <c r="B562" s="15">
        <v>147.19999999999999</v>
      </c>
      <c r="C562" s="15">
        <v>13.05217391</v>
      </c>
      <c r="D562" s="15">
        <v>11.310198460000001</v>
      </c>
      <c r="E562" s="39">
        <f t="shared" si="112"/>
        <v>220.66976890878649</v>
      </c>
      <c r="F562" s="39">
        <f t="shared" si="121"/>
        <v>0.56107779060819229</v>
      </c>
      <c r="G562" s="39">
        <f t="shared" si="122"/>
        <v>4.6989723485506719E-3</v>
      </c>
      <c r="I562" s="38"/>
    </row>
    <row r="563" spans="1:9" x14ac:dyDescent="0.2">
      <c r="A563" s="1">
        <v>13.488</v>
      </c>
      <c r="B563" s="15">
        <v>146.51304350000001</v>
      </c>
      <c r="C563" s="15">
        <v>12.88695652</v>
      </c>
      <c r="D563" s="15">
        <v>11.31504131</v>
      </c>
      <c r="E563" s="39">
        <f t="shared" si="112"/>
        <v>220.62582643352565</v>
      </c>
      <c r="F563" s="39">
        <f t="shared" si="121"/>
        <v>0.56540090394558684</v>
      </c>
      <c r="G563" s="39">
        <f t="shared" si="122"/>
        <v>4.7236924894131418E-3</v>
      </c>
      <c r="I563" s="38"/>
    </row>
    <row r="564" spans="1:9" x14ac:dyDescent="0.2">
      <c r="A564" s="1">
        <v>13.512</v>
      </c>
      <c r="B564" s="15">
        <v>145.34782609999999</v>
      </c>
      <c r="C564" s="15">
        <v>12.808695650000001</v>
      </c>
      <c r="D564" s="15">
        <v>11.3157879</v>
      </c>
      <c r="E564" s="39">
        <f t="shared" si="112"/>
        <v>220.61905534385838</v>
      </c>
      <c r="F564" s="39">
        <f t="shared" si="121"/>
        <v>0.56686429801483651</v>
      </c>
      <c r="G564" s="39">
        <f t="shared" si="122"/>
        <v>4.7389824047949702E-3</v>
      </c>
      <c r="I564" s="38"/>
    </row>
    <row r="565" spans="1:9" x14ac:dyDescent="0.2">
      <c r="A565" s="1">
        <v>13.536</v>
      </c>
      <c r="B565" s="15">
        <v>144.0434783</v>
      </c>
      <c r="C565" s="15">
        <v>12.73043478</v>
      </c>
      <c r="D565" s="15">
        <v>11.313810999999999</v>
      </c>
      <c r="E565" s="39">
        <f t="shared" si="112"/>
        <v>220.63698643331099</v>
      </c>
      <c r="F565" s="39">
        <f t="shared" si="121"/>
        <v>0.56834979044814871</v>
      </c>
      <c r="G565" s="39">
        <f t="shared" si="122"/>
        <v>4.7554842500025386E-3</v>
      </c>
      <c r="I565" s="38"/>
    </row>
    <row r="566" spans="1:9" x14ac:dyDescent="0.2">
      <c r="A566" s="1">
        <v>13.56</v>
      </c>
      <c r="B566" s="15">
        <v>142.8956522</v>
      </c>
      <c r="C566" s="15">
        <v>12.6173913</v>
      </c>
      <c r="D566" s="15">
        <v>11.30837734</v>
      </c>
      <c r="E566" s="39">
        <f t="shared" si="112"/>
        <v>220.6863025694922</v>
      </c>
      <c r="F566" s="39">
        <f t="shared" si="121"/>
        <v>0.5712563593064377</v>
      </c>
      <c r="G566" s="39">
        <f t="shared" si="122"/>
        <v>4.7773044908417687E-3</v>
      </c>
      <c r="I566" s="38"/>
    </row>
    <row r="567" spans="1:9" x14ac:dyDescent="0.2">
      <c r="A567" s="1">
        <v>13.584</v>
      </c>
      <c r="B567" s="15">
        <v>141.83478260000001</v>
      </c>
      <c r="C567" s="15">
        <v>12.49565217</v>
      </c>
      <c r="D567" s="15">
        <v>11.30044152</v>
      </c>
      <c r="E567" s="39">
        <f t="shared" si="112"/>
        <v>220.75841067450185</v>
      </c>
      <c r="F567" s="39">
        <f t="shared" si="121"/>
        <v>0.57467980898284776</v>
      </c>
      <c r="G567" s="39">
        <f t="shared" si="122"/>
        <v>4.800854775346499E-3</v>
      </c>
      <c r="I567" s="38"/>
    </row>
    <row r="568" spans="1:9" x14ac:dyDescent="0.2">
      <c r="A568" s="1">
        <v>13.608000000000001</v>
      </c>
      <c r="B568" s="15">
        <v>140.58260870000001</v>
      </c>
      <c r="C568" s="15">
        <v>12.36521739</v>
      </c>
      <c r="D568" s="15">
        <v>11.29510211</v>
      </c>
      <c r="E568" s="39">
        <f t="shared" si="112"/>
        <v>220.80698178549224</v>
      </c>
      <c r="F568" s="39">
        <f t="shared" si="121"/>
        <v>0.57815532661225588</v>
      </c>
      <c r="G568" s="39">
        <f t="shared" si="122"/>
        <v>4.8262734540598312E-3</v>
      </c>
      <c r="I568" s="38"/>
    </row>
    <row r="569" spans="1:9" x14ac:dyDescent="0.2">
      <c r="A569" s="1">
        <v>13.632</v>
      </c>
      <c r="B569" s="15">
        <v>139.58260870000001</v>
      </c>
      <c r="C569" s="15">
        <v>12.35652174</v>
      </c>
      <c r="D569" s="15">
        <v>11.281685209999999</v>
      </c>
      <c r="E569" s="39">
        <f t="shared" si="112"/>
        <v>220.92922747676965</v>
      </c>
      <c r="F569" s="39">
        <f t="shared" si="121"/>
        <v>0.57821256523419073</v>
      </c>
      <c r="G569" s="39">
        <f t="shared" si="122"/>
        <v>4.8342052750246535E-3</v>
      </c>
      <c r="I569" s="38"/>
    </row>
    <row r="570" spans="1:9" x14ac:dyDescent="0.2">
      <c r="A570" s="1">
        <v>13.656000000000001</v>
      </c>
      <c r="B570" s="15">
        <v>138.56521739999999</v>
      </c>
      <c r="C570" s="15">
        <v>12.339130430000001</v>
      </c>
      <c r="D570" s="15">
        <v>11.27165334</v>
      </c>
      <c r="E570" s="39">
        <f t="shared" si="112"/>
        <v>221.02081470749494</v>
      </c>
      <c r="F570" s="39">
        <f t="shared" si="121"/>
        <v>0.57837423307907021</v>
      </c>
      <c r="G570" s="39">
        <f t="shared" si="122"/>
        <v>4.8428988240687004E-3</v>
      </c>
      <c r="I570" s="38"/>
    </row>
    <row r="571" spans="1:9" x14ac:dyDescent="0.2">
      <c r="A571" s="1">
        <v>13.68</v>
      </c>
      <c r="B571" s="15">
        <v>137.8632479</v>
      </c>
      <c r="C571" s="15">
        <v>12.30769231</v>
      </c>
      <c r="D571" s="15">
        <v>11.26842604</v>
      </c>
      <c r="E571" s="39">
        <f t="shared" si="112"/>
        <v>221.05031224086403</v>
      </c>
      <c r="F571" s="39">
        <f t="shared" ref="F571:F580" si="123" xml:space="preserve"> E571^2*(1/SQRT(C571)-1/SQRT(B571))/(H$7*SQRT(11*117))</f>
        <v>0.573985770020082</v>
      </c>
      <c r="G571" s="39">
        <f t="shared" ref="G571:G580" si="124" xml:space="preserve"> E571*(1/SQRT(C571)+1/SQRT(B571))/(H$7*SQRT(11*117))</f>
        <v>4.8094954534696199E-3</v>
      </c>
      <c r="I571" s="38"/>
    </row>
    <row r="572" spans="1:9" x14ac:dyDescent="0.2">
      <c r="A572" s="1">
        <v>13.704000000000001</v>
      </c>
      <c r="B572" s="15">
        <v>136.88034189999999</v>
      </c>
      <c r="C572" s="15">
        <v>12.196581200000001</v>
      </c>
      <c r="D572" s="15">
        <v>11.263592940000001</v>
      </c>
      <c r="E572" s="39">
        <f t="shared" si="112"/>
        <v>221.09451733078856</v>
      </c>
      <c r="F572" s="39">
        <f t="shared" si="123"/>
        <v>0.57706005323155907</v>
      </c>
      <c r="G572" s="39">
        <f t="shared" si="124"/>
        <v>4.8312560627844581E-3</v>
      </c>
      <c r="I572" s="38"/>
    </row>
    <row r="573" spans="1:9" x14ac:dyDescent="0.2">
      <c r="A573" s="1">
        <v>13.728</v>
      </c>
      <c r="B573" s="15">
        <v>135.68376069999999</v>
      </c>
      <c r="C573" s="15">
        <v>12.094017089999999</v>
      </c>
      <c r="D573" s="15">
        <v>11.25686767</v>
      </c>
      <c r="E573" s="39">
        <f t="shared" si="112"/>
        <v>221.15608983793632</v>
      </c>
      <c r="F573" s="39">
        <f t="shared" si="123"/>
        <v>0.57978321700101842</v>
      </c>
      <c r="G573" s="39">
        <f t="shared" si="124"/>
        <v>4.853236976997367E-3</v>
      </c>
      <c r="I573" s="38"/>
    </row>
    <row r="574" spans="1:9" x14ac:dyDescent="0.2">
      <c r="A574" s="1">
        <v>13.752000000000001</v>
      </c>
      <c r="B574" s="15">
        <v>134.65811969999999</v>
      </c>
      <c r="C574" s="15">
        <v>12</v>
      </c>
      <c r="D574" s="15">
        <v>11.252995719999999</v>
      </c>
      <c r="E574" s="39">
        <f t="shared" si="112"/>
        <v>221.19157132842906</v>
      </c>
      <c r="F574" s="39">
        <f t="shared" si="123"/>
        <v>0.58226361413279437</v>
      </c>
      <c r="G574" s="39">
        <f t="shared" si="124"/>
        <v>4.8728722836175291E-3</v>
      </c>
      <c r="I574" s="38"/>
    </row>
    <row r="575" spans="1:9" x14ac:dyDescent="0.2">
      <c r="A575" s="1">
        <v>13.776</v>
      </c>
      <c r="B575" s="15">
        <v>133.59829060000001</v>
      </c>
      <c r="C575" s="15">
        <v>11.88888889</v>
      </c>
      <c r="D575" s="15">
        <v>11.25032266</v>
      </c>
      <c r="E575" s="39">
        <f t="shared" si="112"/>
        <v>221.21608028963172</v>
      </c>
      <c r="F575" s="39">
        <f t="shared" si="123"/>
        <v>0.58528211712237621</v>
      </c>
      <c r="G575" s="39">
        <f t="shared" si="124"/>
        <v>4.8953441618807799E-3</v>
      </c>
      <c r="I575" s="38"/>
    </row>
    <row r="576" spans="1:9" x14ac:dyDescent="0.2">
      <c r="A576" s="1">
        <v>13.8</v>
      </c>
      <c r="B576" s="15">
        <v>132.8461538</v>
      </c>
      <c r="C576" s="15">
        <v>11.777777779999999</v>
      </c>
      <c r="D576" s="15">
        <v>11.255594759999999</v>
      </c>
      <c r="E576" s="39">
        <f t="shared" si="112"/>
        <v>221.16775183417644</v>
      </c>
      <c r="F576" s="39">
        <f t="shared" si="123"/>
        <v>0.58824684245797598</v>
      </c>
      <c r="G576" s="39">
        <f t="shared" si="124"/>
        <v>4.915193611043059E-3</v>
      </c>
      <c r="I576" s="38"/>
    </row>
    <row r="577" spans="1:9" x14ac:dyDescent="0.2">
      <c r="A577" s="1">
        <v>13.824</v>
      </c>
      <c r="B577" s="15">
        <v>131.70085470000001</v>
      </c>
      <c r="C577" s="15">
        <v>11.683760680000001</v>
      </c>
      <c r="D577" s="15">
        <v>11.267270249999999</v>
      </c>
      <c r="E577" s="39">
        <f t="shared" si="112"/>
        <v>221.06088013544988</v>
      </c>
      <c r="F577" s="39">
        <f t="shared" si="123"/>
        <v>0.58995764230570902</v>
      </c>
      <c r="G577" s="39">
        <f t="shared" si="124"/>
        <v>4.932909661071321E-3</v>
      </c>
      <c r="I577" s="38"/>
    </row>
    <row r="578" spans="1:9" x14ac:dyDescent="0.2">
      <c r="A578" s="1">
        <v>13.848000000000001</v>
      </c>
      <c r="B578" s="15">
        <v>130.59829060000001</v>
      </c>
      <c r="C578" s="15">
        <v>11.58119658</v>
      </c>
      <c r="D578" s="15">
        <v>11.28337524</v>
      </c>
      <c r="E578" s="39">
        <f t="shared" si="112"/>
        <v>220.91381361522892</v>
      </c>
      <c r="F578" s="39">
        <f t="shared" si="123"/>
        <v>0.59182753942542465</v>
      </c>
      <c r="G578" s="39">
        <f t="shared" si="124"/>
        <v>4.9511754106343914E-3</v>
      </c>
      <c r="I578" s="38"/>
    </row>
    <row r="579" spans="1:9" x14ac:dyDescent="0.2">
      <c r="A579" s="1">
        <v>13.872</v>
      </c>
      <c r="B579" s="15">
        <v>129.52991449999999</v>
      </c>
      <c r="C579" s="15">
        <v>11.43589744</v>
      </c>
      <c r="D579" s="15">
        <v>11.306239509999999</v>
      </c>
      <c r="E579" s="39">
        <f t="shared" ref="E579:E630" si="125" xml:space="preserve"> H$7/(LN(D579)-H$4)</f>
        <v>220.70571815050141</v>
      </c>
      <c r="F579" s="39">
        <f t="shared" si="123"/>
        <v>0.59500930955836628</v>
      </c>
      <c r="G579" s="39">
        <f t="shared" si="124"/>
        <v>4.9753198780697191E-3</v>
      </c>
      <c r="I579" s="38"/>
    </row>
    <row r="580" spans="1:9" x14ac:dyDescent="0.2">
      <c r="A580" s="1">
        <v>13.896000000000001</v>
      </c>
      <c r="B580" s="15">
        <v>128.46153849999999</v>
      </c>
      <c r="C580" s="15">
        <v>11.4017094</v>
      </c>
      <c r="D580" s="15">
        <v>11.327875110000001</v>
      </c>
      <c r="E580" s="39">
        <f t="shared" si="125"/>
        <v>220.50955200873847</v>
      </c>
      <c r="F580" s="39">
        <f t="shared" si="123"/>
        <v>0.59417610106464158</v>
      </c>
      <c r="G580" s="39">
        <f t="shared" si="124"/>
        <v>4.9813641205331003E-3</v>
      </c>
      <c r="I580" s="38"/>
    </row>
    <row r="581" spans="1:9" x14ac:dyDescent="0.2">
      <c r="A581" s="1">
        <v>13.92</v>
      </c>
      <c r="B581" s="15">
        <v>127.5798319</v>
      </c>
      <c r="C581" s="15">
        <v>11.30252101</v>
      </c>
      <c r="D581" s="15">
        <v>11.35186972</v>
      </c>
      <c r="E581" s="39">
        <f t="shared" si="125"/>
        <v>220.29284099811667</v>
      </c>
      <c r="F581" s="39">
        <f t="shared" ref="F581:F590" si="126" xml:space="preserve"> E581^2*(1/SQRT(C581)-1/SQRT(B581))/(H$7*SQRT(11*119))</f>
        <v>0.59081060487531301</v>
      </c>
      <c r="G581" s="39">
        <f t="shared" ref="G581:G590" si="127" xml:space="preserve"> E581*(1/SQRT(C581)+1/SQRT(B581))/(H$7*SQRT(11*119))</f>
        <v>4.9550249845470616E-3</v>
      </c>
      <c r="I581" s="38"/>
    </row>
    <row r="582" spans="1:9" x14ac:dyDescent="0.2">
      <c r="A582" s="1">
        <v>13.944000000000001</v>
      </c>
      <c r="B582" s="15">
        <v>126.4369748</v>
      </c>
      <c r="C582" s="15">
        <v>11.159663869999999</v>
      </c>
      <c r="D582" s="15">
        <v>11.371637</v>
      </c>
      <c r="E582" s="39">
        <f t="shared" si="125"/>
        <v>220.11497246139419</v>
      </c>
      <c r="F582" s="39">
        <f t="shared" si="126"/>
        <v>0.59408803801718302</v>
      </c>
      <c r="G582" s="39">
        <f t="shared" si="127"/>
        <v>4.9804882751063387E-3</v>
      </c>
      <c r="I582" s="38"/>
    </row>
    <row r="583" spans="1:9" x14ac:dyDescent="0.2">
      <c r="A583" s="1">
        <v>13.968</v>
      </c>
      <c r="B583" s="15">
        <v>125.4957983</v>
      </c>
      <c r="C583" s="15">
        <v>11.008403360000001</v>
      </c>
      <c r="D583" s="15">
        <v>11.392279950000001</v>
      </c>
      <c r="E583" s="39">
        <f t="shared" si="125"/>
        <v>219.92985978392932</v>
      </c>
      <c r="F583" s="39">
        <f t="shared" si="126"/>
        <v>0.59792806314938829</v>
      </c>
      <c r="G583" s="39">
        <f t="shared" si="127"/>
        <v>5.0068335905418451E-3</v>
      </c>
      <c r="I583" s="38"/>
    </row>
    <row r="584" spans="1:9" x14ac:dyDescent="0.2">
      <c r="A584" s="1">
        <v>13.992000000000001</v>
      </c>
      <c r="B584" s="15">
        <v>124.5378151</v>
      </c>
      <c r="C584" s="15">
        <v>10.85714286</v>
      </c>
      <c r="D584" s="15">
        <v>11.4121729</v>
      </c>
      <c r="E584" s="39">
        <f t="shared" si="125"/>
        <v>219.7520832903248</v>
      </c>
      <c r="F584" s="39">
        <f t="shared" si="126"/>
        <v>0.60188532977336373</v>
      </c>
      <c r="G584" s="39">
        <f t="shared" si="127"/>
        <v>5.0339677843367911E-3</v>
      </c>
      <c r="I584" s="38"/>
    </row>
    <row r="585" spans="1:9" x14ac:dyDescent="0.2">
      <c r="A585" s="1">
        <v>14.016</v>
      </c>
      <c r="B585" s="15">
        <v>123.6470588</v>
      </c>
      <c r="C585" s="15">
        <v>10.789915969999999</v>
      </c>
      <c r="D585" s="15">
        <v>11.42815729</v>
      </c>
      <c r="E585" s="39">
        <f t="shared" si="125"/>
        <v>219.60966829815047</v>
      </c>
      <c r="F585" s="39">
        <f t="shared" si="126"/>
        <v>0.60285297417330863</v>
      </c>
      <c r="G585" s="39">
        <f t="shared" si="127"/>
        <v>5.0469093829884739E-3</v>
      </c>
      <c r="I585" s="38"/>
    </row>
    <row r="586" spans="1:9" x14ac:dyDescent="0.2">
      <c r="A586" s="1">
        <v>14.04</v>
      </c>
      <c r="B586" s="15">
        <v>122.8403361</v>
      </c>
      <c r="C586" s="15">
        <v>10.680672270000001</v>
      </c>
      <c r="D586" s="15">
        <v>11.45037597</v>
      </c>
      <c r="E586" s="39">
        <f t="shared" si="125"/>
        <v>219.41234415809879</v>
      </c>
      <c r="F586" s="39">
        <f t="shared" si="126"/>
        <v>0.60529966918381306</v>
      </c>
      <c r="G586" s="39">
        <f t="shared" si="127"/>
        <v>5.066000143757199E-3</v>
      </c>
      <c r="I586" s="38"/>
    </row>
    <row r="587" spans="1:9" x14ac:dyDescent="0.2">
      <c r="A587" s="1">
        <v>14.064</v>
      </c>
      <c r="B587" s="15">
        <v>121.9243697</v>
      </c>
      <c r="C587" s="15">
        <v>10.605042020000001</v>
      </c>
      <c r="D587" s="15">
        <v>11.471925450000001</v>
      </c>
      <c r="E587" s="39">
        <f t="shared" si="125"/>
        <v>219.22166609644799</v>
      </c>
      <c r="F587" s="39">
        <f t="shared" si="126"/>
        <v>0.60635088240640489</v>
      </c>
      <c r="G587" s="39">
        <f t="shared" si="127"/>
        <v>5.0798328098881889E-3</v>
      </c>
      <c r="I587" s="38"/>
    </row>
    <row r="588" spans="1:9" x14ac:dyDescent="0.2">
      <c r="A588" s="1">
        <v>14.087999999999999</v>
      </c>
      <c r="B588" s="15">
        <v>120.9831933</v>
      </c>
      <c r="C588" s="15">
        <v>10.521008399999999</v>
      </c>
      <c r="D588" s="15">
        <v>11.491386289999999</v>
      </c>
      <c r="E588" s="39">
        <f t="shared" si="125"/>
        <v>219.05006047549946</v>
      </c>
      <c r="F588" s="39">
        <f t="shared" si="126"/>
        <v>0.60784109882580661</v>
      </c>
      <c r="G588" s="39">
        <f t="shared" si="127"/>
        <v>5.0959673631844954E-3</v>
      </c>
      <c r="I588" s="38"/>
    </row>
    <row r="589" spans="1:9" x14ac:dyDescent="0.2">
      <c r="A589" s="1">
        <v>14.112</v>
      </c>
      <c r="B589" s="15">
        <v>120.0756303</v>
      </c>
      <c r="C589" s="15">
        <v>10.44537815</v>
      </c>
      <c r="D589" s="15">
        <v>11.503106799999999</v>
      </c>
      <c r="E589" s="39">
        <f t="shared" si="125"/>
        <v>218.94697854715821</v>
      </c>
      <c r="F589" s="39">
        <f t="shared" si="126"/>
        <v>0.60942346784669144</v>
      </c>
      <c r="G589" s="39">
        <f t="shared" si="127"/>
        <v>5.1121597208961846E-3</v>
      </c>
      <c r="I589" s="38"/>
    </row>
    <row r="590" spans="1:9" x14ac:dyDescent="0.2">
      <c r="A590" s="1">
        <v>14.135999999999999</v>
      </c>
      <c r="B590" s="15">
        <v>119.0840336</v>
      </c>
      <c r="C590" s="15">
        <v>10.35294118</v>
      </c>
      <c r="D590" s="15">
        <v>11.50797756</v>
      </c>
      <c r="E590" s="39">
        <f t="shared" si="125"/>
        <v>218.904199589771</v>
      </c>
      <c r="F590" s="39">
        <f t="shared" si="126"/>
        <v>0.6119752195719721</v>
      </c>
      <c r="G590" s="39">
        <f t="shared" si="127"/>
        <v>5.1335791236441844E-3</v>
      </c>
      <c r="I590" s="38"/>
    </row>
    <row r="591" spans="1:9" x14ac:dyDescent="0.2">
      <c r="A591" s="1">
        <v>14.16</v>
      </c>
      <c r="B591" s="15">
        <v>118.1570248</v>
      </c>
      <c r="C591" s="15">
        <v>10.264462809999999</v>
      </c>
      <c r="D591" s="15">
        <v>11.50555567</v>
      </c>
      <c r="E591" s="39">
        <f t="shared" si="125"/>
        <v>218.92546623494977</v>
      </c>
      <c r="F591" s="39">
        <f t="shared" ref="F591:F600" si="128" xml:space="preserve"> E591^2*(1/SQRT(C591)-1/SQRT(B591))/(H$7*SQRT(11*121))</f>
        <v>0.60972287053574425</v>
      </c>
      <c r="G591" s="39">
        <f t="shared" ref="G591:G600" si="129" xml:space="preserve"> E591*(1/SQRT(C591)+1/SQRT(B591))/(H$7*SQRT(11*121))</f>
        <v>5.1129204680652272E-3</v>
      </c>
      <c r="I591" s="38"/>
    </row>
    <row r="592" spans="1:9" x14ac:dyDescent="0.2">
      <c r="A592" s="1">
        <v>14.183999999999999</v>
      </c>
      <c r="B592" s="15">
        <v>117.24793390000001</v>
      </c>
      <c r="C592" s="15">
        <v>10.173553719999999</v>
      </c>
      <c r="D592" s="15">
        <v>11.50306816</v>
      </c>
      <c r="E592" s="39">
        <f t="shared" si="125"/>
        <v>218.94731805419397</v>
      </c>
      <c r="F592" s="39">
        <f t="shared" si="128"/>
        <v>0.61271329783144624</v>
      </c>
      <c r="G592" s="39">
        <f t="shared" si="129"/>
        <v>5.1355411187900667E-3</v>
      </c>
      <c r="I592" s="38"/>
    </row>
    <row r="593" spans="1:9" x14ac:dyDescent="0.2">
      <c r="A593" s="1">
        <v>14.208</v>
      </c>
      <c r="B593" s="15">
        <v>116.29752070000001</v>
      </c>
      <c r="C593" s="15">
        <v>10.07438017</v>
      </c>
      <c r="D593" s="15">
        <v>11.503201170000001</v>
      </c>
      <c r="E593" s="39">
        <f t="shared" si="125"/>
        <v>218.9461493824916</v>
      </c>
      <c r="F593" s="39">
        <f t="shared" si="128"/>
        <v>0.6159280706954382</v>
      </c>
      <c r="G593" s="39">
        <f t="shared" si="129"/>
        <v>5.159756689018526E-3</v>
      </c>
      <c r="I593" s="38"/>
    </row>
    <row r="594" spans="1:9" x14ac:dyDescent="0.2">
      <c r="A594" s="1">
        <v>14.231999999999999</v>
      </c>
      <c r="B594" s="15">
        <v>115.2892562</v>
      </c>
      <c r="C594" s="15">
        <v>10</v>
      </c>
      <c r="D594" s="15">
        <v>11.504525539999999</v>
      </c>
      <c r="E594" s="39">
        <f t="shared" si="125"/>
        <v>218.93451442872336</v>
      </c>
      <c r="F594" s="39">
        <f t="shared" si="128"/>
        <v>0.61798151643288413</v>
      </c>
      <c r="G594" s="39">
        <f t="shared" si="129"/>
        <v>5.1793990307947776E-3</v>
      </c>
      <c r="I594" s="38"/>
    </row>
    <row r="595" spans="1:9" x14ac:dyDescent="0.2">
      <c r="A595" s="1">
        <v>14.256</v>
      </c>
      <c r="B595" s="15">
        <v>114.2892562</v>
      </c>
      <c r="C595" s="15">
        <v>9.9173553719999994</v>
      </c>
      <c r="D595" s="15">
        <v>11.51070859</v>
      </c>
      <c r="E595" s="39">
        <f t="shared" si="125"/>
        <v>218.88022870513626</v>
      </c>
      <c r="F595" s="39">
        <f t="shared" si="128"/>
        <v>0.62018994172105779</v>
      </c>
      <c r="G595" s="39">
        <f t="shared" si="129"/>
        <v>5.1998897232835425E-3</v>
      </c>
      <c r="I595" s="38"/>
    </row>
    <row r="596" spans="1:9" x14ac:dyDescent="0.2">
      <c r="A596" s="1">
        <v>14.28</v>
      </c>
      <c r="B596" s="15">
        <v>113.2892562</v>
      </c>
      <c r="C596" s="15">
        <v>9.9090909089999997</v>
      </c>
      <c r="D596" s="15">
        <v>11.52047464</v>
      </c>
      <c r="E596" s="39">
        <f t="shared" si="125"/>
        <v>218.79459921786329</v>
      </c>
      <c r="F596" s="39">
        <f t="shared" si="128"/>
        <v>0.61893143701573561</v>
      </c>
      <c r="G596" s="39">
        <f t="shared" si="129"/>
        <v>5.2047380189557098E-3</v>
      </c>
      <c r="I596" s="38"/>
    </row>
    <row r="597" spans="1:9" x14ac:dyDescent="0.2">
      <c r="A597" s="1">
        <v>14.304</v>
      </c>
      <c r="B597" s="15">
        <v>112.2727273</v>
      </c>
      <c r="C597" s="15">
        <v>9.7851239670000005</v>
      </c>
      <c r="D597" s="15">
        <v>11.522916110000001</v>
      </c>
      <c r="E597" s="39">
        <f t="shared" si="125"/>
        <v>218.77321402125366</v>
      </c>
      <c r="F597" s="39">
        <f t="shared" si="128"/>
        <v>0.62318510276116656</v>
      </c>
      <c r="G597" s="39">
        <f t="shared" si="129"/>
        <v>5.2349561793936144E-3</v>
      </c>
      <c r="I597" s="38"/>
    </row>
    <row r="598" spans="1:9" x14ac:dyDescent="0.2">
      <c r="A598" s="1">
        <v>14.327999999999999</v>
      </c>
      <c r="B598" s="15">
        <v>111.37190080000001</v>
      </c>
      <c r="C598" s="15">
        <v>9.6859504130000005</v>
      </c>
      <c r="D598" s="15">
        <v>11.524435029999999</v>
      </c>
      <c r="E598" s="39">
        <f t="shared" si="125"/>
        <v>218.75991397146143</v>
      </c>
      <c r="F598" s="39">
        <f t="shared" si="128"/>
        <v>0.62657055681570484</v>
      </c>
      <c r="G598" s="39">
        <f t="shared" si="129"/>
        <v>5.2600911148771128E-3</v>
      </c>
      <c r="I598" s="38"/>
    </row>
    <row r="599" spans="1:9" x14ac:dyDescent="0.2">
      <c r="A599" s="1">
        <v>14.352</v>
      </c>
      <c r="B599" s="15">
        <v>110.5702479</v>
      </c>
      <c r="C599" s="15">
        <v>9.6033057849999999</v>
      </c>
      <c r="D599" s="15">
        <v>11.52316126</v>
      </c>
      <c r="E599" s="39">
        <f t="shared" si="125"/>
        <v>218.7710671974219</v>
      </c>
      <c r="F599" s="39">
        <f t="shared" si="128"/>
        <v>0.62950198928435497</v>
      </c>
      <c r="G599" s="39">
        <f t="shared" si="129"/>
        <v>5.2821368799922533E-3</v>
      </c>
      <c r="I599" s="38"/>
    </row>
    <row r="600" spans="1:9" x14ac:dyDescent="0.2">
      <c r="A600" s="1">
        <v>14.375999999999999</v>
      </c>
      <c r="B600" s="15">
        <v>109.7107438</v>
      </c>
      <c r="C600" s="15">
        <v>9.4876033060000005</v>
      </c>
      <c r="D600" s="15">
        <v>11.530983770000001</v>
      </c>
      <c r="E600" s="39">
        <f t="shared" si="125"/>
        <v>218.70261010215259</v>
      </c>
      <c r="F600" s="39">
        <f t="shared" si="128"/>
        <v>0.63350281599283598</v>
      </c>
      <c r="G600" s="39">
        <f t="shared" si="129"/>
        <v>5.3099767363143924E-3</v>
      </c>
      <c r="I600" s="38"/>
    </row>
    <row r="601" spans="1:9" x14ac:dyDescent="0.2">
      <c r="A601" s="1">
        <v>14.4</v>
      </c>
      <c r="B601" s="15">
        <v>109.1138211</v>
      </c>
      <c r="C601" s="15">
        <v>9.3983739839999991</v>
      </c>
      <c r="D601" s="15">
        <v>11.53182792</v>
      </c>
      <c r="E601" s="39">
        <f t="shared" si="125"/>
        <v>218.69522803250786</v>
      </c>
      <c r="F601" s="39">
        <f t="shared" ref="F601:F610" si="130" xml:space="preserve"> E601^2*(1/SQRT(C601)-1/SQRT(B601))/(H$7*SQRT(11*123))</f>
        <v>0.63178891478850563</v>
      </c>
      <c r="G601" s="39">
        <f t="shared" ref="G601:G610" si="131" xml:space="preserve"> E601*(1/SQRT(C601)+1/SQRT(B601))/(H$7*SQRT(11*123))</f>
        <v>5.2889939550338294E-3</v>
      </c>
      <c r="I601" s="38"/>
    </row>
    <row r="602" spans="1:9" x14ac:dyDescent="0.2">
      <c r="A602" s="1">
        <v>14.423999999999999</v>
      </c>
      <c r="B602" s="15">
        <v>108.2520325</v>
      </c>
      <c r="C602" s="15">
        <v>9.3821138210000008</v>
      </c>
      <c r="D602" s="15">
        <v>11.539971639999999</v>
      </c>
      <c r="E602" s="39">
        <f t="shared" si="125"/>
        <v>218.62406472158924</v>
      </c>
      <c r="F602" s="39">
        <f t="shared" si="130"/>
        <v>0.63110996994794566</v>
      </c>
      <c r="G602" s="39">
        <f t="shared" si="131"/>
        <v>5.2955792468035237E-3</v>
      </c>
      <c r="I602" s="38"/>
    </row>
    <row r="603" spans="1:9" x14ac:dyDescent="0.2">
      <c r="A603" s="1">
        <v>14.448</v>
      </c>
      <c r="B603" s="15">
        <v>107.43902439999999</v>
      </c>
      <c r="C603" s="15">
        <v>9.3089430889999996</v>
      </c>
      <c r="D603" s="15">
        <v>11.53572988</v>
      </c>
      <c r="E603" s="39">
        <f t="shared" si="125"/>
        <v>218.66111898704654</v>
      </c>
      <c r="F603" s="39">
        <f t="shared" si="130"/>
        <v>0.63383870338859671</v>
      </c>
      <c r="G603" s="39">
        <f t="shared" si="131"/>
        <v>5.3170760265822741E-3</v>
      </c>
      <c r="I603" s="38"/>
    </row>
    <row r="604" spans="1:9" x14ac:dyDescent="0.2">
      <c r="A604" s="1">
        <v>14.472</v>
      </c>
      <c r="B604" s="15">
        <v>106.6747967</v>
      </c>
      <c r="C604" s="15">
        <v>9.2520325200000002</v>
      </c>
      <c r="D604" s="15">
        <v>11.53012086</v>
      </c>
      <c r="E604" s="39">
        <f t="shared" si="125"/>
        <v>218.71015730127132</v>
      </c>
      <c r="F604" s="39">
        <f t="shared" si="130"/>
        <v>0.63593680553851417</v>
      </c>
      <c r="G604" s="39">
        <f t="shared" si="131"/>
        <v>5.3352106275986839E-3</v>
      </c>
      <c r="I604" s="38"/>
    </row>
    <row r="605" spans="1:9" x14ac:dyDescent="0.2">
      <c r="A605" s="1">
        <v>14.496</v>
      </c>
      <c r="B605" s="15">
        <v>105.95121949999999</v>
      </c>
      <c r="C605" s="15">
        <v>9.1219512199999997</v>
      </c>
      <c r="D605" s="15">
        <v>11.521583120000001</v>
      </c>
      <c r="E605" s="39">
        <f t="shared" si="125"/>
        <v>218.78488879787034</v>
      </c>
      <c r="F605" s="39">
        <f t="shared" si="130"/>
        <v>0.64187464665863048</v>
      </c>
      <c r="G605" s="39">
        <f t="shared" si="131"/>
        <v>5.3704649782194405E-3</v>
      </c>
      <c r="I605" s="38"/>
    </row>
    <row r="606" spans="1:9" x14ac:dyDescent="0.2">
      <c r="A606" s="1">
        <v>14.52</v>
      </c>
      <c r="B606" s="15">
        <v>105.1138211</v>
      </c>
      <c r="C606" s="15">
        <v>9.1138211380000005</v>
      </c>
      <c r="D606" s="15">
        <v>11.513579</v>
      </c>
      <c r="E606" s="39">
        <f t="shared" si="125"/>
        <v>218.85504623502578</v>
      </c>
      <c r="F606" s="39">
        <f t="shared" si="130"/>
        <v>0.64163140145813546</v>
      </c>
      <c r="G606" s="39">
        <f t="shared" si="131"/>
        <v>5.3788841489491156E-3</v>
      </c>
      <c r="I606" s="38"/>
    </row>
    <row r="607" spans="1:9" x14ac:dyDescent="0.2">
      <c r="A607" s="1">
        <v>14.544</v>
      </c>
      <c r="B607" s="15">
        <v>104.3577236</v>
      </c>
      <c r="C607" s="15">
        <v>9.0569105689999994</v>
      </c>
      <c r="D607" s="15">
        <v>11.493298429999999</v>
      </c>
      <c r="E607" s="39">
        <f t="shared" si="125"/>
        <v>219.03322939435984</v>
      </c>
      <c r="F607" s="39">
        <f t="shared" si="130"/>
        <v>0.64456410477471138</v>
      </c>
      <c r="G607" s="39">
        <f t="shared" si="131"/>
        <v>5.4007370194812465E-3</v>
      </c>
      <c r="I607" s="38"/>
    </row>
    <row r="608" spans="1:9" x14ac:dyDescent="0.2">
      <c r="A608" s="1">
        <v>14.568</v>
      </c>
      <c r="B608" s="15">
        <v>103.30894309999999</v>
      </c>
      <c r="C608" s="15">
        <v>9.0406504069999993</v>
      </c>
      <c r="D608" s="15">
        <v>11.47724736</v>
      </c>
      <c r="E608" s="39">
        <f t="shared" si="125"/>
        <v>219.17468189503907</v>
      </c>
      <c r="F608" s="39">
        <f t="shared" si="130"/>
        <v>0.64485461410633349</v>
      </c>
      <c r="G608" s="39">
        <f t="shared" si="131"/>
        <v>5.4142036677045716E-3</v>
      </c>
      <c r="I608" s="38"/>
    </row>
    <row r="609" spans="1:9" x14ac:dyDescent="0.2">
      <c r="A609" s="1">
        <v>14.592000000000001</v>
      </c>
      <c r="B609" s="15">
        <v>102.6504065</v>
      </c>
      <c r="C609" s="15">
        <v>8.9756097560000008</v>
      </c>
      <c r="D609" s="15">
        <v>11.460268790000001</v>
      </c>
      <c r="E609" s="39">
        <f t="shared" si="125"/>
        <v>219.32472300528195</v>
      </c>
      <c r="F609" s="39">
        <f t="shared" si="130"/>
        <v>0.64818555961439261</v>
      </c>
      <c r="G609" s="39">
        <f t="shared" si="131"/>
        <v>5.436992570203707E-3</v>
      </c>
      <c r="I609" s="38"/>
    </row>
    <row r="610" spans="1:9" x14ac:dyDescent="0.2">
      <c r="A610" s="1">
        <v>14.616</v>
      </c>
      <c r="B610" s="15">
        <v>101.94308940000001</v>
      </c>
      <c r="C610" s="15">
        <v>8.9268292680000005</v>
      </c>
      <c r="D610" s="15">
        <v>11.45013155</v>
      </c>
      <c r="E610" s="39">
        <f t="shared" si="125"/>
        <v>219.41451084186335</v>
      </c>
      <c r="F610" s="39">
        <f t="shared" si="130"/>
        <v>0.65028632004588216</v>
      </c>
      <c r="G610" s="39">
        <f t="shared" si="131"/>
        <v>5.4549713382660439E-3</v>
      </c>
      <c r="I610" s="38"/>
    </row>
    <row r="611" spans="1:9" x14ac:dyDescent="0.2">
      <c r="A611" s="1">
        <v>14.64</v>
      </c>
      <c r="B611" s="15">
        <v>101.352</v>
      </c>
      <c r="C611" s="15">
        <v>8.8320000000000007</v>
      </c>
      <c r="D611" s="15">
        <v>11.42907903</v>
      </c>
      <c r="E611" s="39">
        <f t="shared" si="125"/>
        <v>219.60146763631059</v>
      </c>
      <c r="F611" s="39">
        <f t="shared" ref="F611:F620" si="132" xml:space="preserve"> E611^2*(1/SQRT(C611)-1/SQRT(B611))/(H$7*SQRT(11*125))</f>
        <v>0.65028575447875148</v>
      </c>
      <c r="G611" s="39">
        <f t="shared" ref="G611:G620" si="133" xml:space="preserve"> E611*(1/SQRT(C611)+1/SQRT(B611))/(H$7*SQRT(11*125))</f>
        <v>5.4417428089826659E-3</v>
      </c>
      <c r="I611" s="38"/>
    </row>
    <row r="612" spans="1:9" x14ac:dyDescent="0.2">
      <c r="A612" s="1">
        <v>14.664</v>
      </c>
      <c r="B612" s="15">
        <v>100.568</v>
      </c>
      <c r="C612" s="15">
        <v>8.8320000000000007</v>
      </c>
      <c r="D612" s="15">
        <v>11.4116816</v>
      </c>
      <c r="E612" s="39">
        <f t="shared" si="125"/>
        <v>219.75646667850296</v>
      </c>
      <c r="F612" s="39">
        <f t="shared" si="132"/>
        <v>0.65014297355657102</v>
      </c>
      <c r="G612" s="39">
        <f t="shared" si="133"/>
        <v>5.4504121062373314E-3</v>
      </c>
      <c r="I612" s="38"/>
    </row>
    <row r="613" spans="1:9" x14ac:dyDescent="0.2">
      <c r="A613" s="1">
        <v>14.688000000000001</v>
      </c>
      <c r="B613" s="15">
        <v>99.8</v>
      </c>
      <c r="C613" s="15">
        <v>8.7840000000000007</v>
      </c>
      <c r="D613" s="15">
        <v>11.39520598</v>
      </c>
      <c r="E613" s="39">
        <f t="shared" si="125"/>
        <v>219.90367333928043</v>
      </c>
      <c r="F613" s="39">
        <f t="shared" si="132"/>
        <v>0.65248575150952448</v>
      </c>
      <c r="G613" s="39">
        <f t="shared" si="133"/>
        <v>5.4703308461840246E-3</v>
      </c>
      <c r="I613" s="38"/>
    </row>
    <row r="614" spans="1:9" x14ac:dyDescent="0.2">
      <c r="A614" s="1">
        <v>14.712</v>
      </c>
      <c r="B614" s="15">
        <v>99.103999999999999</v>
      </c>
      <c r="C614" s="15">
        <v>8.7279999999999998</v>
      </c>
      <c r="D614" s="15">
        <v>11.38959687</v>
      </c>
      <c r="E614" s="39">
        <f t="shared" si="125"/>
        <v>219.95388334858598</v>
      </c>
      <c r="F614" s="39">
        <f t="shared" si="132"/>
        <v>0.65479130832327181</v>
      </c>
      <c r="G614" s="39">
        <f t="shared" si="133"/>
        <v>5.4894835417996458E-3</v>
      </c>
      <c r="I614" s="38"/>
    </row>
    <row r="615" spans="1:9" x14ac:dyDescent="0.2">
      <c r="A615" s="1">
        <v>14.736000000000001</v>
      </c>
      <c r="B615" s="15">
        <v>98.471999999999994</v>
      </c>
      <c r="C615" s="15">
        <v>8.6240000000000006</v>
      </c>
      <c r="D615" s="15">
        <v>11.380965639999999</v>
      </c>
      <c r="E615" s="39">
        <f t="shared" si="125"/>
        <v>220.03123906679554</v>
      </c>
      <c r="F615" s="39">
        <f t="shared" si="132"/>
        <v>0.65996745545689295</v>
      </c>
      <c r="G615" s="39">
        <f t="shared" si="133"/>
        <v>5.5208979284595682E-3</v>
      </c>
      <c r="I615" s="38"/>
    </row>
    <row r="616" spans="1:9" x14ac:dyDescent="0.2">
      <c r="A616" s="1">
        <v>14.76</v>
      </c>
      <c r="B616" s="15">
        <v>97.623999999999995</v>
      </c>
      <c r="C616" s="15">
        <v>8.5760000000000005</v>
      </c>
      <c r="D616" s="15">
        <v>11.37546888</v>
      </c>
      <c r="E616" s="39">
        <f t="shared" si="125"/>
        <v>220.08056168124779</v>
      </c>
      <c r="F616" s="39">
        <f t="shared" si="132"/>
        <v>0.66168137368099378</v>
      </c>
      <c r="G616" s="39">
        <f t="shared" si="133"/>
        <v>5.5395086379760759E-3</v>
      </c>
      <c r="I616" s="38"/>
    </row>
    <row r="617" spans="1:9" x14ac:dyDescent="0.2">
      <c r="A617" s="1">
        <v>14.784000000000001</v>
      </c>
      <c r="B617" s="15">
        <v>96.816000000000003</v>
      </c>
      <c r="C617" s="15">
        <v>8.5359999999999996</v>
      </c>
      <c r="D617" s="15">
        <v>11.35826125</v>
      </c>
      <c r="E617" s="39">
        <f t="shared" si="125"/>
        <v>220.23526387775698</v>
      </c>
      <c r="F617" s="39">
        <f t="shared" si="132"/>
        <v>0.6636535431601237</v>
      </c>
      <c r="G617" s="39">
        <f t="shared" si="133"/>
        <v>5.5586872408750097E-3</v>
      </c>
      <c r="I617" s="38"/>
    </row>
    <row r="618" spans="1:9" x14ac:dyDescent="0.2">
      <c r="A618" s="1">
        <v>14.808</v>
      </c>
      <c r="B618" s="15">
        <v>95.992000000000004</v>
      </c>
      <c r="C618" s="15">
        <v>8.4640000000000004</v>
      </c>
      <c r="D618" s="15">
        <v>11.341160110000001</v>
      </c>
      <c r="E618" s="39">
        <f t="shared" si="125"/>
        <v>220.38945718567984</v>
      </c>
      <c r="F618" s="39">
        <f t="shared" si="132"/>
        <v>0.66739302639619813</v>
      </c>
      <c r="G618" s="39">
        <f t="shared" si="133"/>
        <v>5.586237402046495E-3</v>
      </c>
      <c r="I618" s="38"/>
    </row>
    <row r="619" spans="1:9" x14ac:dyDescent="0.2">
      <c r="A619" s="1">
        <v>14.832000000000001</v>
      </c>
      <c r="B619" s="15">
        <v>95.287999999999997</v>
      </c>
      <c r="C619" s="15">
        <v>8.3840000000000003</v>
      </c>
      <c r="D619" s="15">
        <v>11.330031460000001</v>
      </c>
      <c r="E619" s="39">
        <f t="shared" si="125"/>
        <v>220.49004038780859</v>
      </c>
      <c r="F619" s="39">
        <f t="shared" si="132"/>
        <v>0.67148437480958234</v>
      </c>
      <c r="G619" s="39">
        <f t="shared" si="133"/>
        <v>5.6140154299484492E-3</v>
      </c>
      <c r="I619" s="38"/>
    </row>
    <row r="620" spans="1:9" x14ac:dyDescent="0.2">
      <c r="A620" s="1">
        <v>14.856</v>
      </c>
      <c r="B620" s="15">
        <v>94.543999999999997</v>
      </c>
      <c r="C620" s="15">
        <v>8.3360000000000003</v>
      </c>
      <c r="D620" s="15">
        <v>11.318858130000001</v>
      </c>
      <c r="E620" s="39">
        <f t="shared" si="125"/>
        <v>220.59121940065197</v>
      </c>
      <c r="F620" s="39">
        <f t="shared" si="132"/>
        <v>0.67373485538100775</v>
      </c>
      <c r="G620" s="39">
        <f t="shared" si="133"/>
        <v>5.6340907279639708E-3</v>
      </c>
      <c r="I620" s="38"/>
    </row>
    <row r="621" spans="1:9" x14ac:dyDescent="0.2">
      <c r="A621" s="1">
        <v>14.88</v>
      </c>
      <c r="B621" s="15">
        <v>93.826771649999998</v>
      </c>
      <c r="C621" s="15">
        <v>8.2598425199999994</v>
      </c>
      <c r="D621" s="15">
        <v>11.296138539999999</v>
      </c>
      <c r="E621" s="39">
        <f t="shared" si="125"/>
        <v>220.79755020579452</v>
      </c>
      <c r="F621" s="39">
        <f t="shared" ref="F621:F630" si="134" xml:space="preserve"> E621^2*(1/SQRT(C621)-1/SQRT(B621))/(H$7*SQRT(11*127))</f>
        <v>0.67296184360201561</v>
      </c>
      <c r="G621" s="39">
        <f t="shared" ref="G621:G630" si="135" xml:space="preserve"> E621*(1/SQRT(C621)+1/SQRT(B621))/(H$7*SQRT(11*127))</f>
        <v>5.6195081438541097E-3</v>
      </c>
      <c r="I621" s="38"/>
    </row>
    <row r="622" spans="1:9" x14ac:dyDescent="0.2">
      <c r="A622" s="1">
        <v>14.904</v>
      </c>
      <c r="B622" s="15">
        <v>93.133858270000005</v>
      </c>
      <c r="C622" s="15">
        <v>8.2519685040000006</v>
      </c>
      <c r="D622" s="15">
        <v>11.27843032</v>
      </c>
      <c r="E622" s="39">
        <f t="shared" si="125"/>
        <v>220.9589261615962</v>
      </c>
      <c r="F622" s="39">
        <f t="shared" si="134"/>
        <v>0.67334727736581712</v>
      </c>
      <c r="G622" s="39">
        <f t="shared" si="135"/>
        <v>5.630461791385705E-3</v>
      </c>
      <c r="I622" s="38"/>
    </row>
    <row r="623" spans="1:9" x14ac:dyDescent="0.2">
      <c r="A623" s="1">
        <v>14.928000000000001</v>
      </c>
      <c r="B623" s="15">
        <v>92.322834650000004</v>
      </c>
      <c r="C623" s="15">
        <v>8.244094488</v>
      </c>
      <c r="D623" s="15">
        <v>11.264326949999999</v>
      </c>
      <c r="E623" s="39">
        <f t="shared" si="125"/>
        <v>221.08780147856768</v>
      </c>
      <c r="F623" s="39">
        <f t="shared" si="134"/>
        <v>0.6733390546745307</v>
      </c>
      <c r="G623" s="39">
        <f t="shared" si="135"/>
        <v>5.6414823217196914E-3</v>
      </c>
      <c r="I623" s="38"/>
    </row>
    <row r="624" spans="1:9" x14ac:dyDescent="0.2">
      <c r="A624" s="1">
        <v>14.952</v>
      </c>
      <c r="B624" s="15">
        <v>91.771653540000003</v>
      </c>
      <c r="C624" s="15">
        <v>8.1653543309999996</v>
      </c>
      <c r="D624" s="15">
        <v>11.25072759</v>
      </c>
      <c r="E624" s="39">
        <f t="shared" si="125"/>
        <v>221.21236681251162</v>
      </c>
      <c r="F624" s="39">
        <f t="shared" si="134"/>
        <v>0.6778608721167666</v>
      </c>
      <c r="G624" s="39">
        <f t="shared" si="135"/>
        <v>5.6694592471301332E-3</v>
      </c>
      <c r="I624" s="38"/>
    </row>
    <row r="625" spans="1:9" x14ac:dyDescent="0.2">
      <c r="A625" s="1">
        <v>14.976000000000001</v>
      </c>
      <c r="B625" s="15">
        <v>91.181102359999997</v>
      </c>
      <c r="C625" s="15">
        <v>8.1181102359999997</v>
      </c>
      <c r="D625" s="15">
        <v>11.23834894</v>
      </c>
      <c r="E625" s="39">
        <f t="shared" si="125"/>
        <v>221.32600414852624</v>
      </c>
      <c r="F625" s="39">
        <f t="shared" si="134"/>
        <v>0.68043461169186625</v>
      </c>
      <c r="G625" s="39">
        <f t="shared" si="135"/>
        <v>5.6892800310841644E-3</v>
      </c>
      <c r="I625" s="38"/>
    </row>
    <row r="626" spans="1:9" x14ac:dyDescent="0.2">
      <c r="A626" s="1">
        <v>15</v>
      </c>
      <c r="B626" s="15">
        <v>90.314960630000002</v>
      </c>
      <c r="C626" s="15">
        <v>8.0866141729999992</v>
      </c>
      <c r="D626" s="15">
        <v>11.22940281</v>
      </c>
      <c r="E626" s="39">
        <f t="shared" si="125"/>
        <v>221.40828133046702</v>
      </c>
      <c r="F626" s="39">
        <f t="shared" si="134"/>
        <v>0.68144349114088265</v>
      </c>
      <c r="G626" s="39">
        <f t="shared" si="135"/>
        <v>5.7061799180091223E-3</v>
      </c>
      <c r="I626" s="38"/>
    </row>
    <row r="627" spans="1:9" x14ac:dyDescent="0.2">
      <c r="A627" s="1">
        <v>15.023999999999999</v>
      </c>
      <c r="B627" s="15">
        <v>89.685039369999998</v>
      </c>
      <c r="C627" s="15">
        <v>8.0157480309999993</v>
      </c>
      <c r="D627" s="15">
        <v>11.214382369999999</v>
      </c>
      <c r="E627" s="39">
        <f t="shared" si="125"/>
        <v>221.54670911674188</v>
      </c>
      <c r="F627" s="39">
        <f t="shared" si="134"/>
        <v>0.68556892268918845</v>
      </c>
      <c r="G627" s="39">
        <f t="shared" si="135"/>
        <v>5.7337414233524699E-3</v>
      </c>
      <c r="I627" s="38"/>
    </row>
    <row r="628" spans="1:9" x14ac:dyDescent="0.2">
      <c r="A628" s="1">
        <v>15.048</v>
      </c>
      <c r="B628" s="15">
        <v>89.055118109999995</v>
      </c>
      <c r="C628" s="15">
        <v>7.9606299209999998</v>
      </c>
      <c r="D628" s="15">
        <v>11.207944879999999</v>
      </c>
      <c r="E628" s="39">
        <f t="shared" si="125"/>
        <v>221.60614661085398</v>
      </c>
      <c r="F628" s="39">
        <f t="shared" si="134"/>
        <v>0.68828559140510592</v>
      </c>
      <c r="G628" s="39">
        <f t="shared" si="135"/>
        <v>5.7551988769627511E-3</v>
      </c>
      <c r="I628" s="38"/>
    </row>
    <row r="629" spans="1:9" x14ac:dyDescent="0.2">
      <c r="A629" s="1">
        <v>15.071999999999999</v>
      </c>
      <c r="B629" s="15">
        <v>88.299212600000004</v>
      </c>
      <c r="C629" s="15">
        <v>7.88976378</v>
      </c>
      <c r="D629" s="15">
        <v>11.210956879999999</v>
      </c>
      <c r="E629" s="39">
        <f t="shared" si="125"/>
        <v>221.57832852689882</v>
      </c>
      <c r="F629" s="39">
        <f t="shared" si="134"/>
        <v>0.69125777348999606</v>
      </c>
      <c r="G629" s="39">
        <f t="shared" si="135"/>
        <v>5.779984321979602E-3</v>
      </c>
      <c r="I629" s="38"/>
    </row>
    <row r="630" spans="1:9" x14ac:dyDescent="0.2">
      <c r="A630" s="3">
        <v>15.096</v>
      </c>
      <c r="B630" s="15">
        <v>87.535433069999996</v>
      </c>
      <c r="C630" s="15">
        <v>7.7952755910000002</v>
      </c>
      <c r="D630" s="15">
        <v>11.212436670000001</v>
      </c>
      <c r="E630" s="39">
        <f t="shared" si="125"/>
        <v>221.56466684940517</v>
      </c>
      <c r="F630" s="39">
        <f t="shared" si="134"/>
        <v>0.69584662222699245</v>
      </c>
      <c r="G630" s="39">
        <f t="shared" si="135"/>
        <v>5.8123038348490176E-3</v>
      </c>
      <c r="I630" s="38"/>
    </row>
    <row r="631" spans="1:9" x14ac:dyDescent="0.2">
      <c r="B631" s="15">
        <v>87.069767440000007</v>
      </c>
      <c r="C631" s="15">
        <v>7.7441860470000004</v>
      </c>
      <c r="D631" s="15">
        <v>11.220110910000001</v>
      </c>
      <c r="I631" s="38"/>
    </row>
    <row r="632" spans="1:9" x14ac:dyDescent="0.2">
      <c r="B632" s="15">
        <v>86.255813950000004</v>
      </c>
      <c r="C632" s="15">
        <v>7.7054263570000003</v>
      </c>
      <c r="D632" s="15">
        <v>11.231563189999999</v>
      </c>
      <c r="I632" s="38"/>
    </row>
    <row r="633" spans="1:9" x14ac:dyDescent="0.2">
      <c r="B633" s="15">
        <v>85.550387599999993</v>
      </c>
      <c r="C633" s="15">
        <v>7.6279069770000003</v>
      </c>
      <c r="D633" s="15">
        <v>11.24230764</v>
      </c>
      <c r="I633" s="38"/>
    </row>
    <row r="634" spans="1:9" x14ac:dyDescent="0.2">
      <c r="B634" s="15">
        <v>84.891472870000001</v>
      </c>
      <c r="C634" s="15">
        <v>7.5581395349999996</v>
      </c>
      <c r="D634" s="15">
        <v>11.262284429999999</v>
      </c>
      <c r="I634" s="38"/>
    </row>
    <row r="635" spans="1:9" x14ac:dyDescent="0.2">
      <c r="B635" s="15">
        <v>84.372093019999994</v>
      </c>
      <c r="C635" s="15">
        <v>7.4961240309999999</v>
      </c>
      <c r="D635" s="15">
        <v>11.277627409999999</v>
      </c>
      <c r="I635" s="38"/>
    </row>
    <row r="636" spans="1:9" x14ac:dyDescent="0.2">
      <c r="B636" s="15">
        <v>83.775193799999997</v>
      </c>
      <c r="C636" s="15">
        <v>7.4031007750000004</v>
      </c>
      <c r="D636" s="15">
        <v>11.293283239999999</v>
      </c>
      <c r="I636" s="38"/>
    </row>
    <row r="637" spans="1:9" x14ac:dyDescent="0.2">
      <c r="B637" s="15">
        <v>83.263565889999995</v>
      </c>
      <c r="C637" s="15">
        <v>7.3720930229999997</v>
      </c>
      <c r="D637" s="15">
        <v>11.306902129999999</v>
      </c>
      <c r="I637" s="38"/>
    </row>
    <row r="638" spans="1:9" x14ac:dyDescent="0.2">
      <c r="B638" s="15">
        <v>82.565891469999997</v>
      </c>
      <c r="C638" s="15">
        <v>7.3023255809999998</v>
      </c>
      <c r="D638" s="15">
        <v>11.329154750000001</v>
      </c>
      <c r="I638" s="38"/>
    </row>
    <row r="639" spans="1:9" x14ac:dyDescent="0.2">
      <c r="B639" s="15">
        <v>81.968992249999999</v>
      </c>
      <c r="C639" s="15">
        <v>7.1860465119999999</v>
      </c>
      <c r="D639" s="15">
        <v>11.3498831</v>
      </c>
      <c r="I639" s="38"/>
    </row>
    <row r="640" spans="1:9" x14ac:dyDescent="0.2">
      <c r="B640" s="15">
        <v>81.372093019999994</v>
      </c>
      <c r="C640" s="15">
        <v>7.1627906980000002</v>
      </c>
      <c r="D640" s="15">
        <v>11.37304239</v>
      </c>
      <c r="I640" s="38"/>
    </row>
    <row r="641" spans="2:9" x14ac:dyDescent="0.2">
      <c r="B641" s="15">
        <v>80.854961829999993</v>
      </c>
      <c r="C641" s="15">
        <v>7.091603053</v>
      </c>
      <c r="D641" s="15">
        <v>11.39939897</v>
      </c>
      <c r="I641" s="38"/>
    </row>
    <row r="642" spans="2:9" x14ac:dyDescent="0.2">
      <c r="B642" s="15">
        <v>80.099236640000001</v>
      </c>
      <c r="C642" s="15">
        <v>7.030534351</v>
      </c>
      <c r="D642" s="15">
        <v>11.418022990000001</v>
      </c>
      <c r="I642" s="38"/>
    </row>
    <row r="643" spans="2:9" x14ac:dyDescent="0.2">
      <c r="B643" s="15">
        <v>79.374045800000005</v>
      </c>
      <c r="C643" s="15">
        <v>6.938931298</v>
      </c>
      <c r="D643" s="15">
        <v>11.4391148</v>
      </c>
      <c r="I643" s="38"/>
    </row>
    <row r="644" spans="2:9" x14ac:dyDescent="0.2">
      <c r="B644" s="15">
        <v>78.793893130000001</v>
      </c>
      <c r="C644" s="15">
        <v>6.8854961829999999</v>
      </c>
      <c r="D644" s="15">
        <v>11.45688893</v>
      </c>
      <c r="I644" s="38"/>
    </row>
    <row r="645" spans="2:9" x14ac:dyDescent="0.2">
      <c r="B645" s="15">
        <v>78.213740459999997</v>
      </c>
      <c r="C645" s="15">
        <v>6.8091603049999998</v>
      </c>
      <c r="D645" s="15">
        <v>11.463789869999999</v>
      </c>
      <c r="I645" s="38"/>
    </row>
    <row r="646" spans="2:9" x14ac:dyDescent="0.2">
      <c r="B646" s="15">
        <v>77.732824429999994</v>
      </c>
      <c r="C646" s="15">
        <v>6.7328244269999997</v>
      </c>
      <c r="D646" s="15">
        <v>11.47517706</v>
      </c>
      <c r="I646" s="38"/>
    </row>
    <row r="647" spans="2:9" x14ac:dyDescent="0.2">
      <c r="B647" s="15">
        <v>77.129770989999997</v>
      </c>
      <c r="C647" s="15">
        <v>6.6946564889999998</v>
      </c>
      <c r="D647" s="15">
        <v>11.47884799</v>
      </c>
      <c r="I647" s="38"/>
    </row>
    <row r="648" spans="2:9" x14ac:dyDescent="0.2">
      <c r="B648" s="15">
        <v>76.549618319999993</v>
      </c>
      <c r="C648" s="15">
        <v>6.6412213739999997</v>
      </c>
      <c r="D648" s="15">
        <v>11.482453769999999</v>
      </c>
      <c r="I648" s="38"/>
    </row>
    <row r="649" spans="2:9" x14ac:dyDescent="0.2">
      <c r="B649" s="15">
        <v>76.038167939999994</v>
      </c>
      <c r="C649" s="15">
        <v>6.6106870229999997</v>
      </c>
      <c r="D649" s="15">
        <v>11.47899818</v>
      </c>
      <c r="I649" s="38"/>
    </row>
    <row r="650" spans="2:9" x14ac:dyDescent="0.2">
      <c r="B650" s="15">
        <v>75.557251910000005</v>
      </c>
      <c r="C650" s="15">
        <v>6.5801526719999996</v>
      </c>
      <c r="D650" s="15">
        <v>11.479587459999999</v>
      </c>
      <c r="I650" s="38"/>
    </row>
    <row r="651" spans="2:9" x14ac:dyDescent="0.2">
      <c r="B651" s="15">
        <v>75.218045110000006</v>
      </c>
      <c r="C651" s="15">
        <v>6.54887218</v>
      </c>
      <c r="D651" s="15">
        <v>11.473871239999999</v>
      </c>
      <c r="I651" s="38"/>
    </row>
    <row r="652" spans="2:9" x14ac:dyDescent="0.2">
      <c r="B652" s="15">
        <v>74.759398500000003</v>
      </c>
      <c r="C652" s="15">
        <v>6.5338345860000002</v>
      </c>
      <c r="D652" s="15">
        <v>11.46254283</v>
      </c>
      <c r="I652" s="38"/>
    </row>
    <row r="653" spans="2:9" x14ac:dyDescent="0.2">
      <c r="B653" s="15">
        <v>74.097744359999993</v>
      </c>
      <c r="C653" s="15">
        <v>6.4812030079999996</v>
      </c>
      <c r="D653" s="15">
        <v>11.456473040000001</v>
      </c>
      <c r="I653" s="38"/>
    </row>
    <row r="654" spans="2:9" x14ac:dyDescent="0.2">
      <c r="B654" s="15">
        <v>73.548872180000004</v>
      </c>
      <c r="C654" s="15">
        <v>6.45112782</v>
      </c>
      <c r="D654" s="15">
        <v>11.44307527</v>
      </c>
      <c r="I654" s="38"/>
    </row>
    <row r="655" spans="2:9" x14ac:dyDescent="0.2">
      <c r="B655" s="15">
        <v>73.090225559999993</v>
      </c>
      <c r="C655" s="15">
        <v>6.3834586470000003</v>
      </c>
      <c r="D655" s="15">
        <v>11.43260495</v>
      </c>
      <c r="I655" s="38"/>
    </row>
    <row r="656" spans="2:9" x14ac:dyDescent="0.2">
      <c r="B656" s="15">
        <v>72.578947369999995</v>
      </c>
      <c r="C656" s="15">
        <v>6.3533834589999998</v>
      </c>
      <c r="D656" s="15">
        <v>11.42432928</v>
      </c>
      <c r="I656" s="38"/>
    </row>
    <row r="657" spans="2:9" x14ac:dyDescent="0.2">
      <c r="B657" s="15">
        <v>72.045112779999997</v>
      </c>
      <c r="C657" s="15">
        <v>6.3082706770000003</v>
      </c>
      <c r="D657" s="15">
        <v>11.41482195</v>
      </c>
      <c r="I657" s="38"/>
    </row>
    <row r="658" spans="2:9" x14ac:dyDescent="0.2">
      <c r="B658" s="15">
        <v>71.654135339999996</v>
      </c>
      <c r="C658" s="15">
        <v>6.2556390979999996</v>
      </c>
      <c r="D658" s="15">
        <v>11.407728410000001</v>
      </c>
      <c r="I658" s="38"/>
    </row>
    <row r="659" spans="2:9" x14ac:dyDescent="0.2">
      <c r="B659" s="15">
        <v>71.097744359999993</v>
      </c>
      <c r="C659" s="15">
        <v>6.2481203010000002</v>
      </c>
      <c r="D659" s="15">
        <v>11.40749624</v>
      </c>
      <c r="I659" s="38"/>
    </row>
    <row r="660" spans="2:9" x14ac:dyDescent="0.2">
      <c r="B660" s="15">
        <v>70.548872180000004</v>
      </c>
      <c r="C660" s="15">
        <v>6.1954887220000003</v>
      </c>
      <c r="D660" s="15">
        <v>11.410170409999999</v>
      </c>
      <c r="I660" s="38"/>
    </row>
    <row r="661" spans="2:9" x14ac:dyDescent="0.2">
      <c r="B661" s="15">
        <v>70.037037040000001</v>
      </c>
      <c r="C661" s="15">
        <v>6.1481481479999998</v>
      </c>
      <c r="D661" s="15">
        <v>11.41101413</v>
      </c>
      <c r="I661" s="38"/>
    </row>
    <row r="662" spans="2:9" x14ac:dyDescent="0.2">
      <c r="B662" s="15">
        <v>69.466666669999995</v>
      </c>
      <c r="C662" s="15">
        <v>6.103703704</v>
      </c>
      <c r="D662" s="15">
        <v>11.412902839999999</v>
      </c>
      <c r="I662" s="38"/>
    </row>
    <row r="663" spans="2:9" x14ac:dyDescent="0.2">
      <c r="B663" s="15">
        <v>68.940740739999995</v>
      </c>
      <c r="C663" s="15">
        <v>6.0666666669999998</v>
      </c>
      <c r="D663" s="15">
        <v>11.419644570000001</v>
      </c>
      <c r="I663" s="38"/>
    </row>
    <row r="664" spans="2:9" x14ac:dyDescent="0.2">
      <c r="B664" s="15">
        <v>68.496296299999997</v>
      </c>
      <c r="C664" s="15">
        <v>5.9925925930000004</v>
      </c>
      <c r="D664" s="15">
        <v>11.42058742</v>
      </c>
      <c r="I664" s="38"/>
    </row>
    <row r="665" spans="2:9" x14ac:dyDescent="0.2">
      <c r="B665" s="15">
        <v>68.074074069999995</v>
      </c>
      <c r="C665" s="15">
        <v>5.9555555560000002</v>
      </c>
      <c r="D665" s="15">
        <v>11.41938672</v>
      </c>
      <c r="I665" s="38"/>
    </row>
    <row r="666" spans="2:9" x14ac:dyDescent="0.2">
      <c r="B666" s="15">
        <v>67.65185185</v>
      </c>
      <c r="C666" s="15">
        <v>5.9037037039999998</v>
      </c>
      <c r="D666" s="15">
        <v>11.41557645</v>
      </c>
      <c r="I666" s="38"/>
    </row>
    <row r="667" spans="2:9" x14ac:dyDescent="0.2">
      <c r="B667" s="15">
        <v>67.140740739999998</v>
      </c>
      <c r="C667" s="15">
        <v>5.8666666669999996</v>
      </c>
      <c r="D667" s="15">
        <v>11.41937738</v>
      </c>
      <c r="I667" s="38"/>
    </row>
    <row r="668" spans="2:9" x14ac:dyDescent="0.2">
      <c r="B668" s="15">
        <v>66.755555560000005</v>
      </c>
      <c r="C668" s="15">
        <v>5.8074074070000004</v>
      </c>
      <c r="D668" s="15">
        <v>11.42119317</v>
      </c>
      <c r="I668" s="38"/>
    </row>
    <row r="669" spans="2:9" x14ac:dyDescent="0.2">
      <c r="B669" s="15">
        <v>66.155555559999996</v>
      </c>
      <c r="C669" s="15">
        <v>5.7703703700000002</v>
      </c>
      <c r="D669" s="15">
        <v>11.419446730000001</v>
      </c>
      <c r="I669" s="38"/>
    </row>
    <row r="670" spans="2:9" x14ac:dyDescent="0.2">
      <c r="B670" s="15">
        <v>65.585185190000004</v>
      </c>
      <c r="C670" s="15">
        <v>5.7703703700000002</v>
      </c>
      <c r="D670" s="15">
        <v>11.416848959999999</v>
      </c>
      <c r="I670" s="38"/>
    </row>
    <row r="671" spans="2:9" x14ac:dyDescent="0.2">
      <c r="B671" s="15">
        <v>65.007299270000004</v>
      </c>
      <c r="C671" s="15">
        <v>5.7299270069999997</v>
      </c>
      <c r="D671" s="15">
        <v>11.41435598</v>
      </c>
      <c r="I671" s="38"/>
    </row>
    <row r="672" spans="2:9" x14ac:dyDescent="0.2">
      <c r="B672" s="15">
        <v>64.510948909999996</v>
      </c>
      <c r="C672" s="15">
        <v>5.6423357660000004</v>
      </c>
      <c r="D672" s="15">
        <v>11.406229099999999</v>
      </c>
      <c r="I672" s="38"/>
    </row>
    <row r="673" spans="1:9" x14ac:dyDescent="0.2">
      <c r="B673" s="15">
        <v>63.912408759999998</v>
      </c>
      <c r="C673" s="15">
        <v>5.6058394160000002</v>
      </c>
      <c r="D673" s="15">
        <v>11.40089349</v>
      </c>
      <c r="I673" s="38"/>
    </row>
    <row r="674" spans="1:9" x14ac:dyDescent="0.2">
      <c r="B674" s="15">
        <v>63.430656929999998</v>
      </c>
      <c r="C674" s="15">
        <v>5.5912408759999996</v>
      </c>
      <c r="D674" s="15">
        <v>11.390763570000001</v>
      </c>
      <c r="I674" s="38"/>
    </row>
    <row r="675" spans="1:9" x14ac:dyDescent="0.2">
      <c r="B675" s="15">
        <v>63</v>
      </c>
      <c r="C675" s="15">
        <v>5.5255474449999999</v>
      </c>
      <c r="D675" s="15">
        <v>11.38047269</v>
      </c>
      <c r="I675" s="38"/>
    </row>
    <row r="676" spans="1:9" x14ac:dyDescent="0.2">
      <c r="A676" s="3"/>
      <c r="B676" s="15">
        <v>62.591240880000001</v>
      </c>
      <c r="C676" s="15">
        <v>5.4890510949999998</v>
      </c>
      <c r="D676" s="15">
        <v>11.37556126</v>
      </c>
      <c r="I676" s="38"/>
    </row>
    <row r="677" spans="1:9" x14ac:dyDescent="0.2">
      <c r="B677" s="15">
        <v>62.160583940000002</v>
      </c>
      <c r="C677" s="15">
        <v>5.4671532850000002</v>
      </c>
      <c r="D677" s="15">
        <v>11.36773275</v>
      </c>
      <c r="I677" s="38"/>
    </row>
    <row r="678" spans="1:9" x14ac:dyDescent="0.2">
      <c r="B678" s="15">
        <v>61.832116790000001</v>
      </c>
      <c r="C678" s="15">
        <v>5.4306569339999999</v>
      </c>
      <c r="D678" s="15">
        <v>11.34853691</v>
      </c>
      <c r="I678" s="38"/>
    </row>
    <row r="679" spans="1:9" x14ac:dyDescent="0.2">
      <c r="B679" s="15">
        <v>61.321167879999997</v>
      </c>
      <c r="C679" s="15">
        <v>5.3868613139999999</v>
      </c>
      <c r="D679" s="15">
        <v>11.33776757</v>
      </c>
      <c r="I679" s="38"/>
    </row>
    <row r="680" spans="1:9" x14ac:dyDescent="0.2">
      <c r="B680" s="15">
        <v>60.817518249999999</v>
      </c>
      <c r="C680" s="15">
        <v>5.3576642339999996</v>
      </c>
      <c r="D680" s="15">
        <v>11.32471728</v>
      </c>
      <c r="I680" s="38"/>
    </row>
    <row r="681" spans="1:9" x14ac:dyDescent="0.2">
      <c r="B681" s="15">
        <v>60.54676259</v>
      </c>
      <c r="C681" s="15">
        <v>5.3525179859999996</v>
      </c>
      <c r="D681" s="15">
        <v>11.306491530000001</v>
      </c>
      <c r="I681" s="38"/>
    </row>
    <row r="682" spans="1:9" x14ac:dyDescent="0.2">
      <c r="B682" s="15">
        <v>60.021582729999999</v>
      </c>
      <c r="C682" s="15">
        <v>5.3309352519999997</v>
      </c>
      <c r="D682" s="15">
        <v>11.287441039999999</v>
      </c>
      <c r="I682" s="38"/>
    </row>
    <row r="683" spans="1:9" x14ac:dyDescent="0.2">
      <c r="B683" s="15">
        <v>59.582733810000001</v>
      </c>
      <c r="C683" s="15">
        <v>5.3093525179999999</v>
      </c>
      <c r="D683" s="15">
        <v>11.26880409</v>
      </c>
      <c r="I683" s="38"/>
    </row>
    <row r="684" spans="1:9" x14ac:dyDescent="0.2">
      <c r="B684" s="15">
        <v>59.172661869999999</v>
      </c>
      <c r="C684" s="15">
        <v>5.2446043170000003</v>
      </c>
      <c r="D684" s="15">
        <v>11.25572773</v>
      </c>
      <c r="I684" s="38"/>
    </row>
    <row r="685" spans="1:9" x14ac:dyDescent="0.2">
      <c r="B685" s="15">
        <v>58.90647482</v>
      </c>
      <c r="C685" s="15">
        <v>5.2589928060000002</v>
      </c>
      <c r="D685" s="15">
        <v>11.23809722</v>
      </c>
      <c r="I685" s="38"/>
    </row>
    <row r="686" spans="1:9" x14ac:dyDescent="0.2">
      <c r="A686" s="2"/>
      <c r="B686" s="15">
        <v>58.503597120000002</v>
      </c>
      <c r="C686" s="15">
        <v>5.2230215830000004</v>
      </c>
      <c r="D686" s="15">
        <v>11.22701348</v>
      </c>
      <c r="I686" s="38"/>
    </row>
    <row r="687" spans="1:9" x14ac:dyDescent="0.2">
      <c r="B687" s="15">
        <v>58.30215827</v>
      </c>
      <c r="C687" s="15">
        <v>5.2086330939999996</v>
      </c>
      <c r="D687" s="15">
        <v>11.218881809999999</v>
      </c>
      <c r="I687" s="38"/>
    </row>
    <row r="688" spans="1:9" x14ac:dyDescent="0.2">
      <c r="B688" s="15">
        <v>57.992805760000003</v>
      </c>
      <c r="C688" s="15">
        <v>5.1942446039999997</v>
      </c>
      <c r="D688" s="15">
        <v>11.22558579</v>
      </c>
      <c r="I688" s="38"/>
    </row>
    <row r="689" spans="2:9" x14ac:dyDescent="0.2">
      <c r="B689" s="15">
        <v>57.503597120000002</v>
      </c>
      <c r="C689" s="15">
        <v>5.1151079140000002</v>
      </c>
      <c r="D689" s="15">
        <v>11.236609059999999</v>
      </c>
      <c r="I689" s="38"/>
    </row>
    <row r="690" spans="2:9" x14ac:dyDescent="0.2">
      <c r="B690" s="15">
        <v>56.913669059999997</v>
      </c>
      <c r="C690" s="15">
        <v>5.0863309350000003</v>
      </c>
      <c r="D690" s="15">
        <v>11.237836550000001</v>
      </c>
      <c r="I690" s="38"/>
    </row>
    <row r="691" spans="2:9" x14ac:dyDescent="0.2">
      <c r="B691" s="15">
        <v>56.546099290000001</v>
      </c>
      <c r="C691" s="15">
        <v>5.0354609930000001</v>
      </c>
      <c r="D691" s="15">
        <v>11.24672196</v>
      </c>
      <c r="I691" s="38"/>
    </row>
    <row r="692" spans="2:9" x14ac:dyDescent="0.2">
      <c r="B692" s="15">
        <v>56.191489359999998</v>
      </c>
      <c r="C692" s="15">
        <v>5.0070921989999997</v>
      </c>
      <c r="D692" s="15">
        <v>11.26809467</v>
      </c>
      <c r="I692" s="38"/>
    </row>
    <row r="693" spans="2:9" x14ac:dyDescent="0.2">
      <c r="B693" s="15">
        <v>55.780141839999999</v>
      </c>
      <c r="C693" s="15">
        <v>4.9219858160000003</v>
      </c>
      <c r="D693" s="15">
        <v>11.295011730000001</v>
      </c>
      <c r="I693" s="38"/>
    </row>
    <row r="694" spans="2:9" x14ac:dyDescent="0.2">
      <c r="B694" s="15">
        <v>55.510638299999997</v>
      </c>
      <c r="C694" s="15">
        <v>4.8936170209999998</v>
      </c>
      <c r="D694" s="15">
        <v>11.31902837</v>
      </c>
      <c r="I694" s="38"/>
    </row>
    <row r="695" spans="2:9" x14ac:dyDescent="0.2">
      <c r="B695" s="15">
        <v>55.198581560000001</v>
      </c>
      <c r="C695" s="15">
        <v>4.8865248230000002</v>
      </c>
      <c r="D695" s="15">
        <v>11.346127210000001</v>
      </c>
      <c r="I695" s="38"/>
    </row>
    <row r="696" spans="2:9" x14ac:dyDescent="0.2">
      <c r="B696" s="15">
        <v>54.971631209999998</v>
      </c>
      <c r="C696" s="15">
        <v>4.8652482270000004</v>
      </c>
      <c r="D696" s="15">
        <v>11.37712308</v>
      </c>
      <c r="I696" s="38"/>
    </row>
    <row r="697" spans="2:9" x14ac:dyDescent="0.2">
      <c r="B697" s="15">
        <v>54.666666669999998</v>
      </c>
      <c r="C697" s="15">
        <v>4.7801418440000001</v>
      </c>
      <c r="D697" s="15">
        <v>11.40415074</v>
      </c>
      <c r="I697" s="38"/>
    </row>
    <row r="698" spans="2:9" x14ac:dyDescent="0.2">
      <c r="B698" s="15">
        <v>54.106382979999999</v>
      </c>
      <c r="C698" s="15">
        <v>4.709219858</v>
      </c>
      <c r="D698" s="15">
        <v>11.434815309999999</v>
      </c>
      <c r="I698" s="38"/>
    </row>
    <row r="699" spans="2:9" x14ac:dyDescent="0.2">
      <c r="B699" s="15">
        <v>53.659574470000003</v>
      </c>
      <c r="C699" s="15">
        <v>4.6950354609999998</v>
      </c>
      <c r="D699" s="15">
        <v>11.45747955</v>
      </c>
      <c r="I699" s="38"/>
    </row>
    <row r="700" spans="2:9" x14ac:dyDescent="0.2">
      <c r="B700" s="15">
        <v>53.198581560000001</v>
      </c>
      <c r="C700" s="15">
        <v>4.6099290780000004</v>
      </c>
      <c r="D700" s="15">
        <v>11.48249706</v>
      </c>
      <c r="I700" s="38"/>
    </row>
    <row r="701" spans="2:9" x14ac:dyDescent="0.2">
      <c r="B701" s="15">
        <v>52.8951049</v>
      </c>
      <c r="C701" s="15">
        <v>4.5874125870000002</v>
      </c>
      <c r="D701" s="15">
        <v>11.50666283</v>
      </c>
      <c r="I701" s="38"/>
    </row>
    <row r="702" spans="2:9" x14ac:dyDescent="0.2">
      <c r="B702" s="15">
        <v>52.475524479999997</v>
      </c>
      <c r="C702" s="15">
        <v>4.5524475520000003</v>
      </c>
      <c r="D702" s="15">
        <v>11.5269773</v>
      </c>
      <c r="I702" s="38"/>
    </row>
    <row r="703" spans="2:9" x14ac:dyDescent="0.2">
      <c r="B703" s="15">
        <v>52.139860140000003</v>
      </c>
      <c r="C703" s="15">
        <v>4.5104895100000002</v>
      </c>
      <c r="D703" s="15">
        <v>11.5303848</v>
      </c>
      <c r="I703" s="38"/>
    </row>
    <row r="704" spans="2:9" x14ac:dyDescent="0.2">
      <c r="B704" s="15">
        <v>51.755244759999997</v>
      </c>
      <c r="C704" s="15">
        <v>4.4685314690000002</v>
      </c>
      <c r="D704" s="15">
        <v>11.52126633</v>
      </c>
      <c r="I704" s="38"/>
    </row>
    <row r="705" spans="2:9" x14ac:dyDescent="0.2">
      <c r="B705" s="15">
        <v>51.349650349999997</v>
      </c>
      <c r="C705" s="15">
        <v>4.41958042</v>
      </c>
      <c r="D705" s="15">
        <v>11.52691023</v>
      </c>
      <c r="I705" s="38"/>
    </row>
    <row r="706" spans="2:9" x14ac:dyDescent="0.2">
      <c r="B706" s="15">
        <v>50.937062939999997</v>
      </c>
      <c r="C706" s="15">
        <v>4.4055944059999996</v>
      </c>
      <c r="D706" s="15">
        <v>11.525601249999999</v>
      </c>
      <c r="I706" s="38"/>
    </row>
    <row r="707" spans="2:9" x14ac:dyDescent="0.2">
      <c r="B707" s="15">
        <v>50.601398600000003</v>
      </c>
      <c r="C707" s="15">
        <v>4.3916083920000002</v>
      </c>
      <c r="D707" s="15">
        <v>11.5250583</v>
      </c>
    </row>
    <row r="708" spans="2:9" x14ac:dyDescent="0.2">
      <c r="B708" s="15">
        <v>50.30769231</v>
      </c>
      <c r="C708" s="15">
        <v>4.384615385</v>
      </c>
      <c r="D708" s="15">
        <v>11.524830379999999</v>
      </c>
    </row>
    <row r="709" spans="2:9" x14ac:dyDescent="0.2">
      <c r="B709" s="15">
        <v>49.937062939999997</v>
      </c>
      <c r="C709" s="15">
        <v>4.384615385</v>
      </c>
      <c r="D709" s="15">
        <v>11.519850440000001</v>
      </c>
    </row>
    <row r="710" spans="2:9" x14ac:dyDescent="0.2">
      <c r="B710" s="15">
        <v>49.580419579999997</v>
      </c>
      <c r="C710" s="15">
        <v>4.3146853150000002</v>
      </c>
      <c r="D710" s="15">
        <v>11.509465580000001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163" r:id="rId4">
          <objectPr defaultSize="0" r:id="rId5">
            <anchor moveWithCells="1" sizeWithCells="1">
              <from>
                <xdr:col>1</xdr:col>
                <xdr:colOff>381000</xdr:colOff>
                <xdr:row>0</xdr:row>
                <xdr:rowOff>180975</xdr:rowOff>
              </from>
              <to>
                <xdr:col>1</xdr:col>
                <xdr:colOff>647700</xdr:colOff>
                <xdr:row>0</xdr:row>
                <xdr:rowOff>457200</xdr:rowOff>
              </to>
            </anchor>
          </objectPr>
        </oleObject>
      </mc:Choice>
      <mc:Fallback>
        <oleObject progId="Equation.DSMT4" shapeId="1163" r:id="rId4"/>
      </mc:Fallback>
    </mc:AlternateContent>
    <mc:AlternateContent xmlns:mc="http://schemas.openxmlformats.org/markup-compatibility/2006">
      <mc:Choice Requires="x14">
        <oleObject progId="Equation.DSMT4" shapeId="1164" r:id="rId6">
          <objectPr defaultSize="0" r:id="rId7">
            <anchor moveWithCells="1" sizeWithCells="1">
              <from>
                <xdr:col>2</xdr:col>
                <xdr:colOff>371475</xdr:colOff>
                <xdr:row>0</xdr:row>
                <xdr:rowOff>161925</xdr:rowOff>
              </from>
              <to>
                <xdr:col>2</xdr:col>
                <xdr:colOff>647700</xdr:colOff>
                <xdr:row>0</xdr:row>
                <xdr:rowOff>438150</xdr:rowOff>
              </to>
            </anchor>
          </objectPr>
        </oleObject>
      </mc:Choice>
      <mc:Fallback>
        <oleObject progId="Equation.DSMT4" shapeId="1164" r:id="rId6"/>
      </mc:Fallback>
    </mc:AlternateContent>
    <mc:AlternateContent xmlns:mc="http://schemas.openxmlformats.org/markup-compatibility/2006">
      <mc:Choice Requires="x14">
        <oleObject progId="Equation.DSMT4" shapeId="1165" r:id="rId8">
          <objectPr defaultSize="0" r:id="rId9">
            <anchor moveWithCells="1" sizeWithCells="1">
              <from>
                <xdr:col>1</xdr:col>
                <xdr:colOff>352425</xdr:colOff>
                <xdr:row>1</xdr:row>
                <xdr:rowOff>466725</xdr:rowOff>
              </from>
              <to>
                <xdr:col>1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5" r:id="rId8"/>
      </mc:Fallback>
    </mc:AlternateContent>
    <mc:AlternateContent xmlns:mc="http://schemas.openxmlformats.org/markup-compatibility/2006">
      <mc:Choice Requires="x14">
        <oleObject progId="Equation.DSMT4" shapeId="1166" r:id="rId10">
          <objectPr defaultSize="0" r:id="rId11">
            <anchor moveWithCells="1" sizeWithCells="1">
              <from>
                <xdr:col>2</xdr:col>
                <xdr:colOff>323850</xdr:colOff>
                <xdr:row>1</xdr:row>
                <xdr:rowOff>466725</xdr:rowOff>
              </from>
              <to>
                <xdr:col>2</xdr:col>
                <xdr:colOff>619125</xdr:colOff>
                <xdr:row>1</xdr:row>
                <xdr:rowOff>704850</xdr:rowOff>
              </to>
            </anchor>
          </objectPr>
        </oleObject>
      </mc:Choice>
      <mc:Fallback>
        <oleObject progId="Equation.DSMT4" shapeId="1166" r:id="rId10"/>
      </mc:Fallback>
    </mc:AlternateContent>
    <mc:AlternateContent xmlns:mc="http://schemas.openxmlformats.org/markup-compatibility/2006">
      <mc:Choice Requires="x14">
        <oleObject progId="Equation.DSMT4" shapeId="1170" r:id="rId12">
          <objectPr defaultSize="0" r:id="rId13">
            <anchor moveWithCells="1" sizeWithCells="1">
              <from>
                <xdr:col>3</xdr:col>
                <xdr:colOff>66675</xdr:colOff>
                <xdr:row>0</xdr:row>
                <xdr:rowOff>152400</xdr:rowOff>
              </from>
              <to>
                <xdr:col>3</xdr:col>
                <xdr:colOff>981075</xdr:colOff>
                <xdr:row>0</xdr:row>
                <xdr:rowOff>428625</xdr:rowOff>
              </to>
            </anchor>
          </objectPr>
        </oleObject>
      </mc:Choice>
      <mc:Fallback>
        <oleObject progId="Equation.DSMT4" shapeId="1170" r:id="rId12"/>
      </mc:Fallback>
    </mc:AlternateContent>
    <mc:AlternateContent xmlns:mc="http://schemas.openxmlformats.org/markup-compatibility/2006">
      <mc:Choice Requires="x14">
        <oleObject progId="Equation.DSMT4" shapeId="1180" r:id="rId14">
          <objectPr defaultSize="0" r:id="rId15">
            <anchor moveWithCells="1" sizeWithCells="1">
              <from>
                <xdr:col>4</xdr:col>
                <xdr:colOff>352425</xdr:colOff>
                <xdr:row>0</xdr:row>
                <xdr:rowOff>133350</xdr:rowOff>
              </from>
              <to>
                <xdr:col>4</xdr:col>
                <xdr:colOff>504825</xdr:colOff>
                <xdr:row>0</xdr:row>
                <xdr:rowOff>314325</xdr:rowOff>
              </to>
            </anchor>
          </objectPr>
        </oleObject>
      </mc:Choice>
      <mc:Fallback>
        <oleObject progId="Equation.DSMT4" shapeId="1180" r:id="rId14"/>
      </mc:Fallback>
    </mc:AlternateContent>
    <mc:AlternateContent xmlns:mc="http://schemas.openxmlformats.org/markup-compatibility/2006">
      <mc:Choice Requires="x14">
        <oleObject progId="Equation.DSMT4" shapeId="1181" r:id="rId16">
          <objectPr defaultSize="0" r:id="rId17">
            <anchor moveWithCells="1" sizeWithCells="1">
              <from>
                <xdr:col>5</xdr:col>
                <xdr:colOff>295275</xdr:colOff>
                <xdr:row>0</xdr:row>
                <xdr:rowOff>123825</xdr:rowOff>
              </from>
              <to>
                <xdr:col>5</xdr:col>
                <xdr:colOff>571500</xdr:colOff>
                <xdr:row>0</xdr:row>
                <xdr:rowOff>352425</xdr:rowOff>
              </to>
            </anchor>
          </objectPr>
        </oleObject>
      </mc:Choice>
      <mc:Fallback>
        <oleObject progId="Equation.DSMT4" shapeId="1181" r:id="rId16"/>
      </mc:Fallback>
    </mc:AlternateContent>
    <mc:AlternateContent xmlns:mc="http://schemas.openxmlformats.org/markup-compatibility/2006">
      <mc:Choice Requires="x14">
        <oleObject progId="Equation.DSMT4" shapeId="1182" r:id="rId18">
          <objectPr defaultSize="0" r:id="rId19">
            <anchor moveWithCells="1" sizeWithCells="1">
              <from>
                <xdr:col>6</xdr:col>
                <xdr:colOff>114300</xdr:colOff>
                <xdr:row>0</xdr:row>
                <xdr:rowOff>9525</xdr:rowOff>
              </from>
              <to>
                <xdr:col>6</xdr:col>
                <xdr:colOff>600075</xdr:colOff>
                <xdr:row>1</xdr:row>
                <xdr:rowOff>0</xdr:rowOff>
              </to>
            </anchor>
          </objectPr>
        </oleObject>
      </mc:Choice>
      <mc:Fallback>
        <oleObject progId="Equation.DSMT4" shapeId="1182" r:id="rId1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2016-06-01T14:17:25Z</dcterms:modified>
</cp:coreProperties>
</file>